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peci.org\files\commercial\Current\13936 - PG&amp;E Work Papers\DCV\2018 update\supporting docs\"/>
    </mc:Choice>
  </mc:AlternateContent>
  <xr:revisionPtr revIDLastSave="0" documentId="13_ncr:1_{068F1917-2711-49EB-88C7-D486830A21A4}" xr6:coauthVersionLast="34" xr6:coauthVersionMax="34" xr10:uidLastSave="{00000000-0000-0000-0000-000000000000}"/>
  <bookViews>
    <workbookView xWindow="120" yWindow="300" windowWidth="19155" windowHeight="8520" xr2:uid="{00000000-000D-0000-FFFF-FFFF00000000}"/>
  </bookViews>
  <sheets>
    <sheet name="cost calculation" sheetId="1" r:id="rId1"/>
    <sheet name="ADEC" sheetId="8" r:id="rId2"/>
    <sheet name="CO2 SENSOR" sheetId="6" r:id="rId3"/>
    <sheet name="DRAFT DEER Comparison" sheetId="7" r:id="rId4"/>
  </sheets>
  <calcPr calcId="179017"/>
</workbook>
</file>

<file path=xl/calcChain.xml><?xml version="1.0" encoding="utf-8"?>
<calcChain xmlns="http://schemas.openxmlformats.org/spreadsheetml/2006/main">
  <c r="F5" i="1" l="1"/>
  <c r="E5" i="1"/>
  <c r="K5" i="8"/>
  <c r="J5" i="8"/>
  <c r="I5" i="8"/>
  <c r="G5" i="1" l="1"/>
  <c r="E81" i="1" l="1"/>
  <c r="F20" i="7"/>
  <c r="F21" i="7" s="1"/>
  <c r="G81" i="1"/>
  <c r="F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H81" i="1" s="1"/>
  <c r="I81" i="1" l="1"/>
  <c r="D17" i="1" l="1"/>
  <c r="E14" i="1"/>
  <c r="E13" i="1"/>
  <c r="E12" i="1"/>
  <c r="E11" i="1"/>
  <c r="E16" i="1"/>
  <c r="G16" i="1" s="1"/>
  <c r="E15" i="1"/>
  <c r="G15" i="1" s="1"/>
  <c r="E11" i="6"/>
  <c r="F11" i="6" s="1"/>
  <c r="F13" i="1" s="1"/>
  <c r="E10" i="6"/>
  <c r="E6" i="6"/>
  <c r="F6" i="6" s="1"/>
  <c r="F11" i="1" l="1"/>
  <c r="G11" i="1" s="1"/>
  <c r="G13" i="1"/>
  <c r="E17" i="1"/>
  <c r="D22" i="1" s="1"/>
  <c r="F10" i="6"/>
  <c r="F12" i="1" s="1"/>
  <c r="F14" i="1" l="1"/>
  <c r="F17" i="1" s="1"/>
  <c r="E22" i="1" s="1"/>
  <c r="E47" i="1" s="1"/>
  <c r="G12" i="1"/>
  <c r="G14" i="1" s="1"/>
  <c r="G17" i="1" s="1"/>
  <c r="F60" i="1"/>
  <c r="F47" i="1"/>
  <c r="F51" i="1"/>
  <c r="F55" i="1"/>
  <c r="F59" i="1"/>
  <c r="F50" i="1"/>
  <c r="F58" i="1"/>
  <c r="F48" i="1"/>
  <c r="F52" i="1"/>
  <c r="F56" i="1"/>
  <c r="F44" i="1"/>
  <c r="F45" i="1"/>
  <c r="F49" i="1"/>
  <c r="F53" i="1"/>
  <c r="F57" i="1"/>
  <c r="F54" i="1"/>
  <c r="F46" i="1"/>
  <c r="F13" i="6"/>
  <c r="D21" i="1"/>
  <c r="E46" i="1" l="1"/>
  <c r="E49" i="1"/>
  <c r="G49" i="1" s="1"/>
  <c r="E52" i="1"/>
  <c r="E59" i="1"/>
  <c r="G59" i="1" s="1"/>
  <c r="G47" i="1"/>
  <c r="F22" i="1"/>
  <c r="G22" i="1" s="1"/>
  <c r="E50" i="1"/>
  <c r="G50" i="1" s="1"/>
  <c r="E45" i="1"/>
  <c r="G45" i="1" s="1"/>
  <c r="E48" i="1"/>
  <c r="G48" i="1" s="1"/>
  <c r="E55" i="1"/>
  <c r="G55" i="1" s="1"/>
  <c r="E57" i="1"/>
  <c r="E44" i="1"/>
  <c r="G44" i="1" s="1"/>
  <c r="E60" i="1"/>
  <c r="G60" i="1" s="1"/>
  <c r="E51" i="1"/>
  <c r="G51" i="1" s="1"/>
  <c r="G57" i="1"/>
  <c r="E54" i="1"/>
  <c r="G54" i="1" s="1"/>
  <c r="E53" i="1"/>
  <c r="G53" i="1" s="1"/>
  <c r="E56" i="1"/>
  <c r="G56" i="1" s="1"/>
  <c r="E58" i="1"/>
  <c r="G58" i="1" s="1"/>
  <c r="G46" i="1"/>
  <c r="G52" i="1"/>
  <c r="F29" i="1"/>
  <c r="F33" i="1"/>
  <c r="F37" i="1"/>
  <c r="F41" i="1"/>
  <c r="F36" i="1"/>
  <c r="F30" i="1"/>
  <c r="F34" i="1"/>
  <c r="F38" i="1"/>
  <c r="F42" i="1"/>
  <c r="F27" i="1"/>
  <c r="F31" i="1"/>
  <c r="F35" i="1"/>
  <c r="F39" i="1"/>
  <c r="F43" i="1"/>
  <c r="F28" i="1"/>
  <c r="F40" i="1"/>
  <c r="F32" i="1"/>
  <c r="E21" i="1"/>
  <c r="E43" i="1" s="1"/>
  <c r="E27" i="1" l="1"/>
  <c r="G27" i="1" s="1"/>
  <c r="E29" i="1"/>
  <c r="G29" i="1" s="1"/>
  <c r="E31" i="1"/>
  <c r="G31" i="1" s="1"/>
  <c r="E33" i="1"/>
  <c r="G33" i="1" s="1"/>
  <c r="E35" i="1"/>
  <c r="G35" i="1" s="1"/>
  <c r="E37" i="1"/>
  <c r="G37" i="1" s="1"/>
  <c r="E39" i="1"/>
  <c r="G39" i="1" s="1"/>
  <c r="E41" i="1"/>
  <c r="G41" i="1" s="1"/>
  <c r="G43" i="1"/>
  <c r="E28" i="1"/>
  <c r="G28" i="1" s="1"/>
  <c r="E30" i="1"/>
  <c r="G30" i="1" s="1"/>
  <c r="E32" i="1"/>
  <c r="G32" i="1" s="1"/>
  <c r="E34" i="1"/>
  <c r="G34" i="1" s="1"/>
  <c r="E36" i="1"/>
  <c r="E38" i="1"/>
  <c r="G38" i="1" s="1"/>
  <c r="E40" i="1"/>
  <c r="G40" i="1" s="1"/>
  <c r="E42" i="1"/>
  <c r="G42" i="1" s="1"/>
  <c r="F21" i="1"/>
  <c r="G21" i="1" s="1"/>
  <c r="G36" i="1"/>
</calcChain>
</file>

<file path=xl/sharedStrings.xml><?xml version="1.0" encoding="utf-8"?>
<sst xmlns="http://schemas.openxmlformats.org/spreadsheetml/2006/main" count="239" uniqueCount="132">
  <si>
    <t>Hours</t>
  </si>
  <si>
    <t>Labor</t>
  </si>
  <si>
    <t>Materials</t>
  </si>
  <si>
    <t>Total</t>
  </si>
  <si>
    <t>Source</t>
  </si>
  <si>
    <t>LINE NO.</t>
  </si>
  <si>
    <t>PRICE</t>
  </si>
  <si>
    <t>MATERIAL SUM</t>
  </si>
  <si>
    <t>AVERAGE</t>
  </si>
  <si>
    <t>Climate Zone</t>
  </si>
  <si>
    <t>Reference City</t>
  </si>
  <si>
    <t>Eureka</t>
  </si>
  <si>
    <t>Santa Rosa</t>
  </si>
  <si>
    <t>San Francisco</t>
  </si>
  <si>
    <t>San Jose</t>
  </si>
  <si>
    <t>San Luis Obispo</t>
  </si>
  <si>
    <t>Redding</t>
  </si>
  <si>
    <t>Sacramento</t>
  </si>
  <si>
    <t>Fresno</t>
  </si>
  <si>
    <t>Susanville</t>
  </si>
  <si>
    <t>CONTRACTOR MARKUP</t>
  </si>
  <si>
    <t>ITEM</t>
  </si>
  <si>
    <t>"DISCOUNT"</t>
  </si>
  <si>
    <t>Unit</t>
  </si>
  <si>
    <t>ADEC</t>
  </si>
  <si>
    <t>CO2 Sensor and DCV Setup</t>
  </si>
  <si>
    <t>http://www.davis.com/Product/8102_CO2_Sensor_w_Display_Ventostat_Wall_Mount/YX-10101-49</t>
  </si>
  <si>
    <t>RETAIL SAMPLE 1</t>
  </si>
  <si>
    <t>DISTRIBUTOR SAMPLE</t>
  </si>
  <si>
    <t>RETAIL SAMPLE 2</t>
  </si>
  <si>
    <t>http://www.dwyer-inst.com/Product/AirQuality/CarbonDioxideTransmitters/SeriesCDT/Ordering</t>
  </si>
  <si>
    <t>DISTRIBUTOR QUOTE FOR CONTRACTOR PRICING</t>
  </si>
  <si>
    <t>RETAIL COST</t>
  </si>
  <si>
    <t>SAMPLE 1</t>
  </si>
  <si>
    <t>SAMPLE 2</t>
  </si>
  <si>
    <t>mfgA Distributor Quote with 100% Markup</t>
  </si>
  <si>
    <t xml:space="preserve">mfgC Retail Sample with 10% Contractor Discount </t>
  </si>
  <si>
    <t>mfgB Retail Sample with 10% Contractor Discount</t>
  </si>
  <si>
    <t>Field Wiring - Zone to RTU</t>
  </si>
  <si>
    <t>AVERAGE TOTAL COST</t>
  </si>
  <si>
    <t>Measure and set min/max ventilation+Functional Test</t>
  </si>
  <si>
    <t>See CO2 SENSOR for material; labor based on direct experience</t>
  </si>
  <si>
    <t>small parts material estimated; labor based on direct experience</t>
  </si>
  <si>
    <t>labor based on direct experience</t>
  </si>
  <si>
    <t>SENSOR AVERAGE</t>
  </si>
  <si>
    <t>Technology</t>
  </si>
  <si>
    <t>READI Index ID</t>
  </si>
  <si>
    <t>Match Pair</t>
  </si>
  <si>
    <t>Description</t>
  </si>
  <si>
    <t>Measure Type</t>
  </si>
  <si>
    <t>Sector</t>
  </si>
  <si>
    <t>Equipment Cost</t>
  </si>
  <si>
    <t>Labor Hours</t>
  </si>
  <si>
    <t>CA Average Labor Rate</t>
  </si>
  <si>
    <t>Labor Cost</t>
  </si>
  <si>
    <t>Misc. Costs</t>
  </si>
  <si>
    <t>Full Installed Cost</t>
  </si>
  <si>
    <t>Incremental Cost</t>
  </si>
  <si>
    <t>Equipment Cost per unit</t>
  </si>
  <si>
    <t>Labor Hours per unit</t>
  </si>
  <si>
    <t>Labor Cost per Unit</t>
  </si>
  <si>
    <t>Misc. Costs Per Unit</t>
  </si>
  <si>
    <t>Misc. Fixed Costs per Project</t>
  </si>
  <si>
    <t>Full Cost per Unit</t>
  </si>
  <si>
    <t>Incremental Cost per Unit</t>
  </si>
  <si>
    <t>Incremental Fixed Cost per Project</t>
  </si>
  <si>
    <t>Demand Control Ventilation</t>
  </si>
  <si>
    <t>Example Measures</t>
  </si>
  <si>
    <t>Basline</t>
  </si>
  <si>
    <t>No DCV</t>
  </si>
  <si>
    <t>AddOn</t>
  </si>
  <si>
    <t>Com</t>
  </si>
  <si>
    <t>Sensor</t>
  </si>
  <si>
    <t>-</t>
  </si>
  <si>
    <t>Measure</t>
  </si>
  <si>
    <t>Duct Mounted unit single zone</t>
  </si>
  <si>
    <t>Duct Mounted unit with Digital Display and VOC Sensor single zone</t>
  </si>
  <si>
    <t>Duct Mounted unit with Humidity Sensor single zone</t>
  </si>
  <si>
    <t>Duct Mounted unit with Temperature Sensor single zone</t>
  </si>
  <si>
    <t>Wall Mounted unit single zone</t>
  </si>
  <si>
    <t>Wall Mounted unit with Digital Display single zone</t>
  </si>
  <si>
    <t>Wall Mounted unit with Humidity Sensor single zone</t>
  </si>
  <si>
    <t>Wall Mounted unit with Temperature Sensor single zone</t>
  </si>
  <si>
    <t>Wall Mounted unit with Temperature Sensor and Digital Display single zone</t>
  </si>
  <si>
    <t>Wall Mounted unit with Temperature Sensor and Humidity Sensor single zone</t>
  </si>
  <si>
    <t>Wall Mounted unit with Temperature Sensor, Digital Display, and Humidity Sensor single zone</t>
  </si>
  <si>
    <t>Draft results from DEER Update Study 3/11/2014</t>
  </si>
  <si>
    <t>Add ADEC and CO2 sensor to XXX</t>
  </si>
  <si>
    <t>Add CO2 sensor to XXX with ADEC</t>
  </si>
  <si>
    <t>Tons</t>
  </si>
  <si>
    <t>*Typical Unit Size</t>
  </si>
  <si>
    <t>*Typical Unit Cost/Ton</t>
  </si>
  <si>
    <t>*Base Labor Rate</t>
  </si>
  <si>
    <t>*Base labor rate equivalent to rate used for Draft DEER Measure Cost Update Study</t>
  </si>
  <si>
    <t>Table G-1:  Statewide RSMeans Cost Indices Weighted by 2010-2012 HVAC Measure Claims</t>
  </si>
  <si>
    <r>
      <t>Material</t>
    </r>
    <r>
      <rPr>
        <b/>
        <vertAlign val="superscript"/>
        <sz val="11"/>
        <rFont val="Times New Roman"/>
        <family val="1"/>
      </rPr>
      <t>1</t>
    </r>
  </si>
  <si>
    <r>
      <t>Installation</t>
    </r>
    <r>
      <rPr>
        <b/>
        <vertAlign val="superscript"/>
        <sz val="11"/>
        <rFont val="Times New Roman"/>
        <family val="1"/>
      </rPr>
      <t>1</t>
    </r>
  </si>
  <si>
    <r>
      <t>Weights</t>
    </r>
    <r>
      <rPr>
        <b/>
        <vertAlign val="superscript"/>
        <sz val="11"/>
        <rFont val="Times New Roman"/>
        <family val="1"/>
      </rPr>
      <t>2</t>
    </r>
  </si>
  <si>
    <t>Weighted Material</t>
  </si>
  <si>
    <t>Weighted Installation</t>
  </si>
  <si>
    <t>Santa Barbara</t>
  </si>
  <si>
    <t>San Diego</t>
  </si>
  <si>
    <t>Santa Ana</t>
  </si>
  <si>
    <t>Los Angeles</t>
  </si>
  <si>
    <t>Riverside</t>
  </si>
  <si>
    <t>Mojave</t>
  </si>
  <si>
    <t>Palm Springs</t>
  </si>
  <si>
    <t>Average</t>
  </si>
  <si>
    <t>1 - Table 21, 22, 23 (Fire Suppression, Plumbing, &amp; HVAC) RSMeans MasterFormat City Cost Indexes, Year 2013 National Average Base</t>
  </si>
  <si>
    <t>2 - 2010-2012 Standard Program Tracking Data (all in-scope deemed HVAC claims)</t>
  </si>
  <si>
    <t>From Draft DEER Measure Cost Update:</t>
  </si>
  <si>
    <t>Measure Cost ($/unit)</t>
  </si>
  <si>
    <t>Labor Cost ($/unit)</t>
  </si>
  <si>
    <t>IMC
Incremental 
Measure
Cost ($/unit)</t>
  </si>
  <si>
    <t>Climate Zone Adjusted IMC Data</t>
  </si>
  <si>
    <t>difference from DEER</t>
  </si>
  <si>
    <t>% difference from DEER</t>
  </si>
  <si>
    <t>WEIGHTED AVERAGE</t>
  </si>
  <si>
    <t>Used in work paper</t>
  </si>
  <si>
    <t>From PGE3PHVC151 R4 measure cost data:</t>
  </si>
  <si>
    <t>Workpaper</t>
  </si>
  <si>
    <t>Measure Detail</t>
  </si>
  <si>
    <t>Rev</t>
  </si>
  <si>
    <t>Equipment Cost ($/ton)</t>
  </si>
  <si>
    <t>Labor Cost ($/ton)</t>
  </si>
  <si>
    <t>Total Cost ($/ton)</t>
  </si>
  <si>
    <t>PGE3PHVC151 – Economizer Repair</t>
  </si>
  <si>
    <t>R3</t>
  </si>
  <si>
    <t>R4</t>
  </si>
  <si>
    <t>Economizer Repair</t>
  </si>
  <si>
    <t>Non-ADEC</t>
  </si>
  <si>
    <t>PGE3PHVC151 R4 measure cost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</si>
</sst>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0.0000"/>
    <numFmt numFmtId="167" formatCode="0.0%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sz val="8"/>
      <name val="Arial"/>
      <family val="2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</cellStyleXfs>
  <cellXfs count="13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 applyBorder="1"/>
    <xf numFmtId="0" fontId="2" fillId="0" borderId="0" xfId="0" applyFont="1" applyFill="1" applyBorder="1"/>
    <xf numFmtId="9" fontId="0" fillId="0" borderId="0" xfId="0" applyNumberFormat="1"/>
    <xf numFmtId="0" fontId="2" fillId="0" borderId="0" xfId="0" applyFont="1" applyAlignment="1">
      <alignment wrapText="1"/>
    </xf>
    <xf numFmtId="0" fontId="2" fillId="2" borderId="0" xfId="0" applyFont="1" applyFill="1"/>
    <xf numFmtId="0" fontId="0" fillId="3" borderId="0" xfId="0" applyFill="1"/>
    <xf numFmtId="0" fontId="2" fillId="0" borderId="0" xfId="0" applyFont="1" applyFill="1" applyBorder="1" applyAlignment="1">
      <alignment wrapText="1"/>
    </xf>
    <xf numFmtId="0" fontId="3" fillId="0" borderId="0" xfId="0" applyFont="1" applyBorder="1"/>
    <xf numFmtId="164" fontId="0" fillId="0" borderId="0" xfId="0" applyNumberFormat="1" applyBorder="1"/>
    <xf numFmtId="0" fontId="0" fillId="0" borderId="0" xfId="0" applyBorder="1"/>
    <xf numFmtId="44" fontId="0" fillId="3" borderId="0" xfId="2" applyFont="1" applyFill="1"/>
    <xf numFmtId="0" fontId="3" fillId="0" borderId="0" xfId="0" applyFont="1" applyAlignment="1">
      <alignment horizontal="right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165" fontId="0" fillId="0" borderId="4" xfId="0" applyNumberFormat="1" applyBorder="1" applyAlignment="1">
      <alignment horizontal="right" vertical="center"/>
    </xf>
    <xf numFmtId="2" fontId="0" fillId="0" borderId="9" xfId="0" applyNumberFormat="1" applyBorder="1" applyAlignment="1">
      <alignment horizontal="right" vertical="center"/>
    </xf>
    <xf numFmtId="165" fontId="0" fillId="0" borderId="9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6" borderId="6" xfId="0" applyFill="1" applyBorder="1" applyAlignment="1">
      <alignment horizontal="right" vertical="center"/>
    </xf>
    <xf numFmtId="0" fontId="0" fillId="6" borderId="0" xfId="0" applyFill="1" applyBorder="1" applyAlignment="1">
      <alignment horizontal="right" vertical="center"/>
    </xf>
    <xf numFmtId="0" fontId="0" fillId="6" borderId="7" xfId="0" applyFill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165" fontId="0" fillId="0" borderId="18" xfId="0" applyNumberFormat="1" applyBorder="1" applyAlignment="1">
      <alignment horizontal="right" vertical="center"/>
    </xf>
    <xf numFmtId="2" fontId="0" fillId="0" borderId="19" xfId="0" applyNumberFormat="1" applyBorder="1" applyAlignment="1">
      <alignment horizontal="right" vertical="center"/>
    </xf>
    <xf numFmtId="165" fontId="0" fillId="0" borderId="19" xfId="0" applyNumberFormat="1" applyBorder="1" applyAlignment="1">
      <alignment horizontal="right" vertical="center"/>
    </xf>
    <xf numFmtId="165" fontId="0" fillId="0" borderId="20" xfId="0" applyNumberFormat="1" applyBorder="1" applyAlignment="1">
      <alignment horizontal="right" vertical="center"/>
    </xf>
    <xf numFmtId="0" fontId="0" fillId="3" borderId="18" xfId="0" applyFill="1" applyBorder="1" applyAlignment="1">
      <alignment vertical="center"/>
    </xf>
    <xf numFmtId="0" fontId="0" fillId="3" borderId="19" xfId="0" applyFill="1" applyBorder="1" applyAlignment="1">
      <alignment vertical="center" wrapText="1"/>
    </xf>
    <xf numFmtId="0" fontId="0" fillId="3" borderId="19" xfId="0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165" fontId="0" fillId="3" borderId="18" xfId="0" applyNumberFormat="1" applyFill="1" applyBorder="1" applyAlignment="1">
      <alignment horizontal="right" vertical="center"/>
    </xf>
    <xf numFmtId="2" fontId="0" fillId="3" borderId="19" xfId="0" applyNumberFormat="1" applyFill="1" applyBorder="1" applyAlignment="1">
      <alignment horizontal="right" vertical="center"/>
    </xf>
    <xf numFmtId="165" fontId="0" fillId="3" borderId="19" xfId="0" applyNumberFormat="1" applyFill="1" applyBorder="1" applyAlignment="1">
      <alignment horizontal="right" vertical="center"/>
    </xf>
    <xf numFmtId="165" fontId="0" fillId="3" borderId="20" xfId="0" applyNumberFormat="1" applyFill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165" fontId="0" fillId="0" borderId="21" xfId="0" applyNumberFormat="1" applyBorder="1" applyAlignment="1">
      <alignment horizontal="right" vertical="center"/>
    </xf>
    <xf numFmtId="2" fontId="0" fillId="0" borderId="22" xfId="0" applyNumberFormat="1" applyBorder="1" applyAlignment="1">
      <alignment horizontal="right" vertical="center"/>
    </xf>
    <xf numFmtId="165" fontId="0" fillId="0" borderId="22" xfId="0" applyNumberFormat="1" applyBorder="1" applyAlignment="1">
      <alignment horizontal="right" vertical="center"/>
    </xf>
    <xf numFmtId="165" fontId="0" fillId="0" borderId="23" xfId="0" applyNumberFormat="1" applyBorder="1" applyAlignment="1">
      <alignment horizontal="right" vertical="center"/>
    </xf>
    <xf numFmtId="0" fontId="0" fillId="6" borderId="2" xfId="0" applyFill="1" applyBorder="1" applyAlignment="1">
      <alignment horizontal="right" vertical="center"/>
    </xf>
    <xf numFmtId="0" fontId="0" fillId="6" borderId="3" xfId="0" applyFill="1" applyBorder="1" applyAlignment="1">
      <alignment horizontal="right" vertical="center"/>
    </xf>
    <xf numFmtId="0" fontId="0" fillId="6" borderId="8" xfId="0" applyFill="1" applyBorder="1" applyAlignment="1">
      <alignment horizontal="right" vertical="center"/>
    </xf>
    <xf numFmtId="2" fontId="0" fillId="0" borderId="19" xfId="0" applyNumberFormat="1" applyBorder="1"/>
    <xf numFmtId="2" fontId="0" fillId="0" borderId="19" xfId="0" applyNumberFormat="1" applyFill="1" applyBorder="1"/>
    <xf numFmtId="0" fontId="2" fillId="0" borderId="19" xfId="0" applyFont="1" applyFill="1" applyBorder="1"/>
    <xf numFmtId="0" fontId="2" fillId="0" borderId="24" xfId="0" applyFont="1" applyBorder="1"/>
    <xf numFmtId="2" fontId="0" fillId="0" borderId="24" xfId="0" applyNumberFormat="1" applyBorder="1"/>
    <xf numFmtId="2" fontId="0" fillId="0" borderId="24" xfId="0" applyNumberFormat="1" applyFill="1" applyBorder="1"/>
    <xf numFmtId="0" fontId="3" fillId="0" borderId="26" xfId="0" applyFont="1" applyFill="1" applyBorder="1"/>
    <xf numFmtId="0" fontId="3" fillId="0" borderId="27" xfId="0" applyFont="1" applyFill="1" applyBorder="1"/>
    <xf numFmtId="0" fontId="3" fillId="0" borderId="28" xfId="0" applyFont="1" applyFill="1" applyBorder="1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2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2" fontId="0" fillId="3" borderId="0" xfId="0" applyNumberFormat="1" applyFill="1" applyAlignment="1">
      <alignment wrapText="1"/>
    </xf>
    <xf numFmtId="2" fontId="0" fillId="0" borderId="0" xfId="0" applyNumberFormat="1" applyFill="1" applyAlignment="1">
      <alignment wrapText="1"/>
    </xf>
    <xf numFmtId="0" fontId="0" fillId="0" borderId="0" xfId="0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2" fontId="0" fillId="3" borderId="0" xfId="0" applyNumberFormat="1" applyFill="1" applyBorder="1" applyAlignment="1">
      <alignment wrapText="1"/>
    </xf>
    <xf numFmtId="0" fontId="8" fillId="0" borderId="0" xfId="0" applyFont="1"/>
    <xf numFmtId="0" fontId="0" fillId="0" borderId="0" xfId="0" applyProtection="1">
      <protection locked="0"/>
    </xf>
    <xf numFmtId="0" fontId="9" fillId="4" borderId="29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1" fontId="11" fillId="7" borderId="19" xfId="3" applyNumberFormat="1" applyFont="1" applyFill="1" applyBorder="1" applyAlignment="1" applyProtection="1">
      <alignment horizontal="center"/>
      <protection locked="0"/>
    </xf>
    <xf numFmtId="0" fontId="11" fillId="7" borderId="19" xfId="3" applyFont="1" applyFill="1" applyBorder="1" applyProtection="1">
      <protection locked="0"/>
    </xf>
    <xf numFmtId="0" fontId="0" fillId="0" borderId="19" xfId="0" applyBorder="1" applyProtection="1">
      <protection locked="0"/>
    </xf>
    <xf numFmtId="166" fontId="0" fillId="0" borderId="19" xfId="0" applyNumberFormat="1" applyBorder="1" applyProtection="1">
      <protection locked="0"/>
    </xf>
    <xf numFmtId="0" fontId="11" fillId="7" borderId="19" xfId="3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0" fontId="11" fillId="7" borderId="0" xfId="3" applyFont="1" applyFill="1" applyBorder="1" applyProtection="1">
      <protection locked="0"/>
    </xf>
    <xf numFmtId="0" fontId="0" fillId="0" borderId="0" xfId="0" applyBorder="1" applyProtection="1">
      <protection locked="0"/>
    </xf>
    <xf numFmtId="165" fontId="0" fillId="8" borderId="25" xfId="0" applyNumberFormat="1" applyFill="1" applyBorder="1" applyAlignment="1" applyProtection="1">
      <alignment horizontal="center" wrapText="1"/>
    </xf>
    <xf numFmtId="2" fontId="0" fillId="0" borderId="0" xfId="2" applyNumberFormat="1" applyFont="1"/>
    <xf numFmtId="167" fontId="0" fillId="0" borderId="0" xfId="1" applyNumberFormat="1" applyFont="1"/>
    <xf numFmtId="0" fontId="2" fillId="0" borderId="19" xfId="0" applyFont="1" applyBorder="1" applyProtection="1">
      <protection locked="0"/>
    </xf>
    <xf numFmtId="0" fontId="3" fillId="3" borderId="0" xfId="0" applyFont="1" applyFill="1" applyBorder="1"/>
    <xf numFmtId="0" fontId="3" fillId="3" borderId="0" xfId="0" applyFont="1" applyFill="1"/>
    <xf numFmtId="2" fontId="3" fillId="3" borderId="0" xfId="0" applyNumberFormat="1" applyFont="1" applyFill="1"/>
    <xf numFmtId="0" fontId="7" fillId="6" borderId="11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165" fontId="7" fillId="6" borderId="11" xfId="0" applyNumberFormat="1" applyFont="1" applyFill="1" applyBorder="1" applyAlignment="1">
      <alignment horizontal="center" vertical="center" wrapText="1"/>
    </xf>
    <xf numFmtId="165" fontId="7" fillId="6" borderId="15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/>
    </xf>
    <xf numFmtId="0" fontId="7" fillId="6" borderId="10" xfId="0" applyFont="1" applyFill="1" applyBorder="1" applyAlignment="1">
      <alignment horizontal="left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left" vertical="center"/>
    </xf>
    <xf numFmtId="0" fontId="7" fillId="6" borderId="15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 wrapText="1"/>
    </xf>
    <xf numFmtId="0" fontId="7" fillId="6" borderId="15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left" vertical="center"/>
    </xf>
    <xf numFmtId="0" fontId="7" fillId="6" borderId="16" xfId="0" applyFont="1" applyFill="1" applyBorder="1" applyAlignment="1">
      <alignment horizontal="left" vertical="center"/>
    </xf>
    <xf numFmtId="2" fontId="7" fillId="6" borderId="11" xfId="0" applyNumberFormat="1" applyFont="1" applyFill="1" applyBorder="1" applyAlignment="1">
      <alignment horizontal="center" vertical="center" wrapText="1"/>
    </xf>
    <xf numFmtId="2" fontId="7" fillId="6" borderId="15" xfId="0" applyNumberFormat="1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wrapText="1"/>
    </xf>
    <xf numFmtId="44" fontId="13" fillId="0" borderId="19" xfId="2" applyFont="1" applyBorder="1" applyAlignment="1">
      <alignment wrapText="1"/>
    </xf>
    <xf numFmtId="44" fontId="13" fillId="9" borderId="19" xfId="2" applyFont="1" applyFill="1" applyBorder="1" applyAlignment="1">
      <alignment wrapText="1"/>
    </xf>
    <xf numFmtId="0" fontId="0" fillId="0" borderId="19" xfId="0" applyFont="1" applyBorder="1" applyAlignment="1">
      <alignment vertical="center"/>
    </xf>
    <xf numFmtId="0" fontId="0" fillId="0" borderId="19" xfId="0" applyBorder="1"/>
    <xf numFmtId="44" fontId="0" fillId="0" borderId="19" xfId="2" applyFont="1" applyBorder="1"/>
    <xf numFmtId="44" fontId="0" fillId="9" borderId="19" xfId="2" applyFont="1" applyFill="1" applyBorder="1"/>
    <xf numFmtId="0" fontId="0" fillId="0" borderId="19" xfId="0" applyFont="1" applyBorder="1" applyAlignment="1">
      <alignment vertical="center"/>
    </xf>
    <xf numFmtId="44" fontId="0" fillId="0" borderId="0" xfId="0" applyNumberFormat="1"/>
  </cellXfs>
  <cellStyles count="4">
    <cellStyle name="Currency" xfId="2" builtinId="4"/>
    <cellStyle name="Normal" xfId="0" builtinId="0"/>
    <cellStyle name="Normal 6" xfId="3" xr:uid="{00000000-0005-0000-0000-000002000000}"/>
    <cellStyle name="Percent" xfId="1" builtinId="5"/>
  </cellStyles>
  <dxfs count="0"/>
  <tableStyles count="0" defaultTableStyle="TableStyleMedium2" defaultPivotStyle="PivotStyleLight16"/>
  <colors>
    <mruColors>
      <color rgb="FFFFF8D9"/>
      <color rgb="FFFFF0B3"/>
      <color rgb="FFF7ECA9"/>
      <color rgb="FFFCFAA4"/>
      <color rgb="FFFBF1A3"/>
      <color rgb="FFF6E040"/>
      <color rgb="FFFFFFCC"/>
      <color rgb="FFFCE7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17</xdr:row>
      <xdr:rowOff>47625</xdr:rowOff>
    </xdr:from>
    <xdr:to>
      <xdr:col>9</xdr:col>
      <xdr:colOff>94167</xdr:colOff>
      <xdr:row>21</xdr:row>
      <xdr:rowOff>161830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2524125"/>
          <a:ext cx="8666667" cy="76190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7</xdr:col>
      <xdr:colOff>2627949</xdr:colOff>
      <xdr:row>34</xdr:row>
      <xdr:rowOff>152199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0" y="3448050"/>
          <a:ext cx="7609524" cy="160952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7</xdr:col>
      <xdr:colOff>1951759</xdr:colOff>
      <xdr:row>45</xdr:row>
      <xdr:rowOff>142716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19200" y="5876925"/>
          <a:ext cx="6933334" cy="127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83"/>
  <sheetViews>
    <sheetView tabSelected="1" topLeftCell="C1" zoomScale="90" zoomScaleNormal="90" workbookViewId="0">
      <selection activeCell="F6" sqref="F6"/>
    </sheetView>
  </sheetViews>
  <sheetFormatPr defaultRowHeight="12.75" x14ac:dyDescent="0.2"/>
  <cols>
    <col min="1" max="1" width="21" bestFit="1" customWidth="1"/>
    <col min="2" max="2" width="24.42578125" customWidth="1"/>
    <col min="3" max="3" width="33.85546875" customWidth="1"/>
    <col min="4" max="4" width="30.7109375" bestFit="1" customWidth="1"/>
    <col min="5" max="6" width="10.5703125" bestFit="1" customWidth="1"/>
    <col min="7" max="7" width="22.42578125" customWidth="1"/>
    <col min="8" max="8" width="65" customWidth="1"/>
    <col min="10" max="10" width="21.140625" customWidth="1"/>
    <col min="12" max="13" width="27" bestFit="1" customWidth="1"/>
    <col min="14" max="14" width="15" bestFit="1" customWidth="1"/>
  </cols>
  <sheetData>
    <row r="3" spans="3:8" x14ac:dyDescent="0.2">
      <c r="C3" s="2" t="s">
        <v>24</v>
      </c>
      <c r="D3" s="14" t="s">
        <v>92</v>
      </c>
      <c r="E3" s="2">
        <v>86.93</v>
      </c>
      <c r="H3" s="1"/>
    </row>
    <row r="4" spans="3:8" x14ac:dyDescent="0.2">
      <c r="D4" s="2" t="s">
        <v>0</v>
      </c>
      <c r="E4" s="2" t="s">
        <v>1</v>
      </c>
      <c r="F4" s="2" t="s">
        <v>2</v>
      </c>
      <c r="G4" s="2" t="s">
        <v>3</v>
      </c>
      <c r="H4" s="2" t="s">
        <v>4</v>
      </c>
    </row>
    <row r="5" spans="3:8" s="66" customFormat="1" x14ac:dyDescent="0.2">
      <c r="C5" s="68" t="s">
        <v>39</v>
      </c>
      <c r="D5" s="69"/>
      <c r="E5" s="70">
        <f>ADEC!J5*D23</f>
        <v>360.74999999999994</v>
      </c>
      <c r="F5" s="70">
        <f>ADEC!I5*D23</f>
        <v>595.21229680353076</v>
      </c>
      <c r="G5" s="70">
        <f>E5+F5</f>
        <v>955.96229680353076</v>
      </c>
      <c r="H5" s="6" t="s">
        <v>131</v>
      </c>
    </row>
    <row r="6" spans="3:8" s="66" customFormat="1" x14ac:dyDescent="0.2">
      <c r="C6" s="6"/>
      <c r="G6" s="71"/>
      <c r="H6" s="6"/>
    </row>
    <row r="7" spans="3:8" s="66" customFormat="1" x14ac:dyDescent="0.2">
      <c r="C7" s="6"/>
      <c r="G7" s="71"/>
      <c r="H7" s="6"/>
    </row>
    <row r="8" spans="3:8" s="66" customFormat="1" x14ac:dyDescent="0.2">
      <c r="C8" s="6"/>
      <c r="G8" s="71"/>
      <c r="H8" s="6"/>
    </row>
    <row r="9" spans="3:8" s="66" customFormat="1" x14ac:dyDescent="0.2">
      <c r="C9" s="72"/>
      <c r="D9" s="72"/>
      <c r="E9" s="72"/>
      <c r="F9" s="72"/>
      <c r="G9" s="72"/>
      <c r="H9" s="72"/>
    </row>
    <row r="10" spans="3:8" s="66" customFormat="1" x14ac:dyDescent="0.2">
      <c r="C10" s="73" t="s">
        <v>25</v>
      </c>
      <c r="D10" s="73" t="s">
        <v>0</v>
      </c>
      <c r="E10" s="73" t="s">
        <v>1</v>
      </c>
      <c r="F10" s="73" t="s">
        <v>2</v>
      </c>
      <c r="G10" s="73" t="s">
        <v>3</v>
      </c>
      <c r="H10" s="73" t="s">
        <v>4</v>
      </c>
    </row>
    <row r="11" spans="3:8" s="66" customFormat="1" ht="25.5" x14ac:dyDescent="0.2">
      <c r="C11" s="9" t="s">
        <v>35</v>
      </c>
      <c r="D11" s="9">
        <v>1</v>
      </c>
      <c r="E11" s="67">
        <f>D11*$E$3</f>
        <v>86.93</v>
      </c>
      <c r="F11" s="74">
        <f>'CO2 SENSOR'!F6</f>
        <v>508.78</v>
      </c>
      <c r="G11" s="75">
        <f>SUM(E11:F11)</f>
        <v>595.71</v>
      </c>
      <c r="H11" s="9" t="s">
        <v>41</v>
      </c>
    </row>
    <row r="12" spans="3:8" s="66" customFormat="1" ht="25.5" x14ac:dyDescent="0.2">
      <c r="C12" s="9" t="s">
        <v>37</v>
      </c>
      <c r="D12" s="66">
        <v>1</v>
      </c>
      <c r="E12" s="67">
        <f>D12*$E$3</f>
        <v>86.93</v>
      </c>
      <c r="F12" s="67">
        <f>'CO2 SENSOR'!F10</f>
        <v>470.8</v>
      </c>
      <c r="G12" s="75">
        <f t="shared" ref="G12:G16" si="0">SUM(E12:F12)</f>
        <v>557.73</v>
      </c>
      <c r="H12" s="9" t="s">
        <v>41</v>
      </c>
    </row>
    <row r="13" spans="3:8" s="66" customFormat="1" ht="25.5" x14ac:dyDescent="0.2">
      <c r="C13" s="9" t="s">
        <v>36</v>
      </c>
      <c r="D13" s="66">
        <v>1</v>
      </c>
      <c r="E13" s="67">
        <f>D13*$E$3</f>
        <v>86.93</v>
      </c>
      <c r="F13" s="67">
        <f>'CO2 SENSOR'!F11</f>
        <v>198</v>
      </c>
      <c r="G13" s="75">
        <f t="shared" si="0"/>
        <v>284.93</v>
      </c>
      <c r="H13" s="9" t="s">
        <v>41</v>
      </c>
    </row>
    <row r="14" spans="3:8" s="66" customFormat="1" x14ac:dyDescent="0.2">
      <c r="C14" s="9" t="s">
        <v>44</v>
      </c>
      <c r="D14" s="66">
        <v>1</v>
      </c>
      <c r="E14" s="67">
        <f>D14*$E$3</f>
        <v>86.93</v>
      </c>
      <c r="F14" s="67">
        <f>AVERAGE(F11:F13)</f>
        <v>392.52666666666664</v>
      </c>
      <c r="G14" s="75">
        <f>AVERAGE(G11:G13)</f>
        <v>479.45666666666671</v>
      </c>
      <c r="H14" s="9"/>
    </row>
    <row r="15" spans="3:8" s="66" customFormat="1" x14ac:dyDescent="0.2">
      <c r="C15" s="9" t="s">
        <v>38</v>
      </c>
      <c r="D15" s="66">
        <v>2</v>
      </c>
      <c r="E15" s="67">
        <f>D15*$E$3</f>
        <v>173.86</v>
      </c>
      <c r="F15" s="67">
        <v>20</v>
      </c>
      <c r="G15" s="75">
        <f t="shared" si="0"/>
        <v>193.86</v>
      </c>
      <c r="H15" s="9" t="s">
        <v>42</v>
      </c>
    </row>
    <row r="16" spans="3:8" s="66" customFormat="1" ht="25.5" x14ac:dyDescent="0.2">
      <c r="C16" s="9" t="s">
        <v>40</v>
      </c>
      <c r="D16" s="66">
        <v>1</v>
      </c>
      <c r="E16" s="67">
        <f t="shared" ref="E16" si="1">D16*$E$3</f>
        <v>86.93</v>
      </c>
      <c r="F16" s="67"/>
      <c r="G16" s="75">
        <f t="shared" si="0"/>
        <v>86.93</v>
      </c>
      <c r="H16" s="72" t="s">
        <v>43</v>
      </c>
    </row>
    <row r="17" spans="3:8" s="66" customFormat="1" x14ac:dyDescent="0.2">
      <c r="C17" s="76" t="s">
        <v>39</v>
      </c>
      <c r="D17" s="69">
        <f>SUM(D14:D16)</f>
        <v>4</v>
      </c>
      <c r="E17" s="69">
        <f t="shared" ref="E17:F17" si="2">SUM(E14,E16,E15)</f>
        <v>347.72</v>
      </c>
      <c r="F17" s="70">
        <f t="shared" si="2"/>
        <v>412.52666666666664</v>
      </c>
      <c r="G17" s="77">
        <f>SUM(G14,G16,G15)</f>
        <v>760.24666666666678</v>
      </c>
      <c r="H17" s="72"/>
    </row>
    <row r="18" spans="3:8" ht="38.25" x14ac:dyDescent="0.2">
      <c r="C18" s="9" t="s">
        <v>93</v>
      </c>
      <c r="G18" s="3"/>
      <c r="H18" s="3"/>
    </row>
    <row r="19" spans="3:8" ht="13.5" thickBot="1" x14ac:dyDescent="0.25">
      <c r="G19" s="3"/>
      <c r="H19" s="4"/>
    </row>
    <row r="20" spans="3:8" ht="13.5" thickBot="1" x14ac:dyDescent="0.25">
      <c r="C20" s="63" t="s">
        <v>74</v>
      </c>
      <c r="D20" s="64" t="s">
        <v>1</v>
      </c>
      <c r="E20" s="64" t="s">
        <v>2</v>
      </c>
      <c r="F20" s="64" t="s">
        <v>3</v>
      </c>
      <c r="G20" s="65" t="s">
        <v>91</v>
      </c>
      <c r="H20" s="3"/>
    </row>
    <row r="21" spans="3:8" x14ac:dyDescent="0.2">
      <c r="C21" s="60" t="s">
        <v>87</v>
      </c>
      <c r="D21" s="61">
        <f>SUM(E5,E17)</f>
        <v>708.47</v>
      </c>
      <c r="E21" s="61">
        <f>SUM(F5,F17)</f>
        <v>1007.7389634701974</v>
      </c>
      <c r="F21" s="61">
        <f>SUM(D21:E21)</f>
        <v>1716.2089634701974</v>
      </c>
      <c r="G21" s="62">
        <f>F21/$D$23</f>
        <v>137.2967170776158</v>
      </c>
      <c r="H21" s="3"/>
    </row>
    <row r="22" spans="3:8" x14ac:dyDescent="0.2">
      <c r="C22" s="59" t="s">
        <v>88</v>
      </c>
      <c r="D22" s="58">
        <f>E17</f>
        <v>347.72</v>
      </c>
      <c r="E22" s="58">
        <f>F17</f>
        <v>412.52666666666664</v>
      </c>
      <c r="F22" s="57">
        <f>SUM(D22:E22)</f>
        <v>760.24666666666667</v>
      </c>
      <c r="G22" s="58">
        <f>F22/$D$23</f>
        <v>60.819733333333332</v>
      </c>
      <c r="H22" s="3"/>
    </row>
    <row r="23" spans="3:8" x14ac:dyDescent="0.2">
      <c r="C23" s="10" t="s">
        <v>90</v>
      </c>
      <c r="D23" s="10">
        <v>12.5</v>
      </c>
      <c r="E23" s="10" t="s">
        <v>89</v>
      </c>
      <c r="F23" s="3"/>
      <c r="G23" s="3"/>
      <c r="H23" s="3"/>
    </row>
    <row r="24" spans="3:8" x14ac:dyDescent="0.2">
      <c r="C24" s="16"/>
      <c r="D24" s="16"/>
      <c r="E24" s="16"/>
      <c r="F24" s="16"/>
      <c r="G24" s="3"/>
      <c r="H24" s="3"/>
    </row>
    <row r="25" spans="3:8" ht="13.5" thickBot="1" x14ac:dyDescent="0.25">
      <c r="C25" s="1" t="s">
        <v>114</v>
      </c>
    </row>
    <row r="26" spans="3:8" ht="51.75" thickBot="1" x14ac:dyDescent="0.25">
      <c r="E26" s="90" t="s">
        <v>111</v>
      </c>
      <c r="F26" s="90" t="s">
        <v>112</v>
      </c>
      <c r="G26" s="90" t="s">
        <v>113</v>
      </c>
    </row>
    <row r="27" spans="3:8" x14ac:dyDescent="0.2">
      <c r="C27" s="15">
        <v>1</v>
      </c>
      <c r="D27" s="15" t="s">
        <v>87</v>
      </c>
      <c r="E27">
        <f t="shared" ref="E27:E42" si="3">$E$21*VLOOKUP(C27,$C$65:$F$81,3,FALSE)/$D$23</f>
        <v>75.78197005295884</v>
      </c>
      <c r="F27">
        <f t="shared" ref="F27:F42" si="4">$D$21*VLOOKUP(C27,$C$65:$F$81,4,FALSE)/$D$23</f>
        <v>57.641119199999991</v>
      </c>
      <c r="G27">
        <f>SUM(E27:F27)</f>
        <v>133.42308925295885</v>
      </c>
    </row>
    <row r="28" spans="3:8" x14ac:dyDescent="0.2">
      <c r="C28" s="15">
        <v>2</v>
      </c>
      <c r="D28" s="15" t="s">
        <v>87</v>
      </c>
      <c r="E28">
        <f t="shared" si="3"/>
        <v>75.78197005295884</v>
      </c>
      <c r="F28">
        <f t="shared" si="4"/>
        <v>93.688072800000015</v>
      </c>
      <c r="G28">
        <f t="shared" ref="G28:G42" si="5">SUM(E28:F28)</f>
        <v>169.47004285295884</v>
      </c>
    </row>
    <row r="29" spans="3:8" x14ac:dyDescent="0.2">
      <c r="C29" s="15">
        <v>3</v>
      </c>
      <c r="D29" s="15" t="s">
        <v>87</v>
      </c>
      <c r="E29">
        <f t="shared" si="3"/>
        <v>80.699736194693401</v>
      </c>
      <c r="F29">
        <f t="shared" si="4"/>
        <v>94.821624800000009</v>
      </c>
      <c r="G29">
        <f t="shared" si="5"/>
        <v>175.5213609946934</v>
      </c>
    </row>
    <row r="30" spans="3:8" x14ac:dyDescent="0.2">
      <c r="C30" s="15">
        <v>4</v>
      </c>
      <c r="D30" s="15" t="s">
        <v>87</v>
      </c>
      <c r="E30">
        <f t="shared" si="3"/>
        <v>80.619117077615797</v>
      </c>
      <c r="F30">
        <f t="shared" si="4"/>
        <v>82.069164799999996</v>
      </c>
      <c r="G30">
        <f t="shared" si="5"/>
        <v>162.68828187761579</v>
      </c>
    </row>
    <row r="31" spans="3:8" x14ac:dyDescent="0.2">
      <c r="C31" s="15">
        <v>5</v>
      </c>
      <c r="D31" s="15" t="s">
        <v>87</v>
      </c>
      <c r="E31">
        <f t="shared" si="3"/>
        <v>75.78197005295884</v>
      </c>
      <c r="F31">
        <f t="shared" si="4"/>
        <v>59.794867999999994</v>
      </c>
      <c r="G31">
        <f t="shared" si="5"/>
        <v>135.57683805295883</v>
      </c>
    </row>
    <row r="32" spans="3:8" x14ac:dyDescent="0.2">
      <c r="C32" s="15">
        <v>6</v>
      </c>
      <c r="D32" s="15" t="s">
        <v>87</v>
      </c>
      <c r="E32">
        <f t="shared" si="3"/>
        <v>80.619117077615797</v>
      </c>
      <c r="F32">
        <f t="shared" si="4"/>
        <v>66.1427592</v>
      </c>
      <c r="G32">
        <f t="shared" si="5"/>
        <v>146.76187627761578</v>
      </c>
    </row>
    <row r="33" spans="2:7" x14ac:dyDescent="0.2">
      <c r="C33" s="15">
        <v>7</v>
      </c>
      <c r="D33" s="15" t="s">
        <v>87</v>
      </c>
      <c r="E33">
        <f t="shared" si="3"/>
        <v>80.619117077615797</v>
      </c>
      <c r="F33">
        <f t="shared" si="4"/>
        <v>65.292595199999994</v>
      </c>
      <c r="G33">
        <f t="shared" si="5"/>
        <v>145.91171227761578</v>
      </c>
    </row>
    <row r="34" spans="2:7" x14ac:dyDescent="0.2">
      <c r="C34" s="15">
        <v>8</v>
      </c>
      <c r="D34" s="15" t="s">
        <v>87</v>
      </c>
      <c r="E34">
        <f t="shared" si="3"/>
        <v>75.78197005295884</v>
      </c>
      <c r="F34">
        <f t="shared" si="4"/>
        <v>59.794867999999994</v>
      </c>
      <c r="G34">
        <f t="shared" si="5"/>
        <v>135.57683805295883</v>
      </c>
    </row>
    <row r="35" spans="2:7" x14ac:dyDescent="0.2">
      <c r="C35" s="15">
        <v>9</v>
      </c>
      <c r="D35" s="15" t="s">
        <v>87</v>
      </c>
      <c r="E35">
        <f t="shared" si="3"/>
        <v>80.699736194693401</v>
      </c>
      <c r="F35">
        <f t="shared" si="4"/>
        <v>66.1427592</v>
      </c>
      <c r="G35">
        <f t="shared" si="5"/>
        <v>146.8424953946934</v>
      </c>
    </row>
    <row r="36" spans="2:7" x14ac:dyDescent="0.2">
      <c r="C36" s="15">
        <v>10</v>
      </c>
      <c r="D36" s="15" t="s">
        <v>87</v>
      </c>
      <c r="E36">
        <f t="shared" si="3"/>
        <v>80.619117077615797</v>
      </c>
      <c r="F36">
        <f t="shared" si="4"/>
        <v>66.0860816</v>
      </c>
      <c r="G36">
        <f t="shared" si="5"/>
        <v>146.70519867761578</v>
      </c>
    </row>
    <row r="37" spans="2:7" x14ac:dyDescent="0.2">
      <c r="C37" s="15">
        <v>11</v>
      </c>
      <c r="D37" s="15" t="s">
        <v>87</v>
      </c>
      <c r="E37">
        <f t="shared" si="3"/>
        <v>80.619117077615797</v>
      </c>
      <c r="F37">
        <f t="shared" si="4"/>
        <v>60.645032000000008</v>
      </c>
      <c r="G37">
        <f t="shared" si="5"/>
        <v>141.2641490776158</v>
      </c>
    </row>
    <row r="38" spans="2:7" x14ac:dyDescent="0.2">
      <c r="C38" s="15">
        <v>12</v>
      </c>
      <c r="D38" s="15" t="s">
        <v>87</v>
      </c>
      <c r="E38">
        <f t="shared" si="3"/>
        <v>80.619117077615797</v>
      </c>
      <c r="F38">
        <f t="shared" si="4"/>
        <v>67.8997648</v>
      </c>
      <c r="G38">
        <f t="shared" si="5"/>
        <v>148.5188818776158</v>
      </c>
    </row>
    <row r="39" spans="2:7" x14ac:dyDescent="0.2">
      <c r="C39" s="15">
        <v>13</v>
      </c>
      <c r="D39" s="15" t="s">
        <v>87</v>
      </c>
      <c r="E39">
        <f t="shared" si="3"/>
        <v>80.699736194693401</v>
      </c>
      <c r="F39">
        <f t="shared" si="4"/>
        <v>63.082168799999998</v>
      </c>
      <c r="G39">
        <f t="shared" si="5"/>
        <v>143.78190499469341</v>
      </c>
    </row>
    <row r="40" spans="2:7" x14ac:dyDescent="0.2">
      <c r="C40" s="15">
        <v>14</v>
      </c>
      <c r="D40" s="15" t="s">
        <v>87</v>
      </c>
      <c r="E40">
        <f t="shared" si="3"/>
        <v>75.78197005295884</v>
      </c>
      <c r="F40">
        <f t="shared" si="4"/>
        <v>56.224179200000002</v>
      </c>
      <c r="G40">
        <f t="shared" si="5"/>
        <v>132.00614925295883</v>
      </c>
    </row>
    <row r="41" spans="2:7" x14ac:dyDescent="0.2">
      <c r="C41" s="15">
        <v>15</v>
      </c>
      <c r="D41" s="15" t="s">
        <v>87</v>
      </c>
      <c r="E41">
        <f t="shared" si="3"/>
        <v>75.78197005295884</v>
      </c>
      <c r="F41">
        <f t="shared" si="4"/>
        <v>59.738190400000001</v>
      </c>
      <c r="G41">
        <f t="shared" si="5"/>
        <v>135.52016045295883</v>
      </c>
    </row>
    <row r="42" spans="2:7" x14ac:dyDescent="0.2">
      <c r="C42" s="15">
        <v>16</v>
      </c>
      <c r="D42" s="15" t="s">
        <v>87</v>
      </c>
      <c r="E42">
        <f t="shared" si="3"/>
        <v>75.78197005295884</v>
      </c>
      <c r="F42">
        <f t="shared" si="4"/>
        <v>60.645032000000008</v>
      </c>
      <c r="G42">
        <f t="shared" si="5"/>
        <v>136.42700205295884</v>
      </c>
    </row>
    <row r="43" spans="2:7" x14ac:dyDescent="0.2">
      <c r="B43" s="8" t="s">
        <v>118</v>
      </c>
      <c r="C43" s="94" t="s">
        <v>117</v>
      </c>
      <c r="D43" s="94" t="s">
        <v>87</v>
      </c>
      <c r="E43" s="95">
        <f>$E$21*$H$81/$D$23</f>
        <v>79.336040679521915</v>
      </c>
      <c r="F43" s="95">
        <f>$D$21*I81/$D$23</f>
        <v>65.635213003523191</v>
      </c>
      <c r="G43" s="96">
        <f t="shared" ref="G43" si="6">SUM(E43:F43)</f>
        <v>144.97125368304512</v>
      </c>
    </row>
    <row r="44" spans="2:7" x14ac:dyDescent="0.2">
      <c r="C44" s="15">
        <v>1</v>
      </c>
      <c r="D44" s="4" t="s">
        <v>88</v>
      </c>
      <c r="E44">
        <f>$E$22*VLOOKUP(C44,$C$65:$F$81,3,FALSE)/$D$23</f>
        <v>31.022005333333333</v>
      </c>
      <c r="F44">
        <f>$D$22*VLOOKUP(C44,$C$65:$F$81,4,FALSE)/$D$23</f>
        <v>28.290499199999999</v>
      </c>
      <c r="G44">
        <f>SUM(E44:F44)</f>
        <v>59.312504533333332</v>
      </c>
    </row>
    <row r="45" spans="2:7" x14ac:dyDescent="0.2">
      <c r="C45" s="15">
        <v>2</v>
      </c>
      <c r="D45" s="4" t="s">
        <v>88</v>
      </c>
      <c r="E45">
        <f t="shared" ref="E45:E59" si="7">$E$22*VLOOKUP(C45,$C$65:$F$81,3,FALSE)/$D$23</f>
        <v>31.022005333333333</v>
      </c>
      <c r="F45">
        <f t="shared" ref="F45:F59" si="8">$D$22*VLOOKUP(C45,$C$65:$F$81,4,FALSE)/$D$23</f>
        <v>45.982492800000003</v>
      </c>
      <c r="G45">
        <f t="shared" ref="G45:G60" si="9">SUM(E45:F45)</f>
        <v>77.004498133333328</v>
      </c>
    </row>
    <row r="46" spans="2:7" x14ac:dyDescent="0.2">
      <c r="C46" s="15">
        <v>3</v>
      </c>
      <c r="D46" s="4" t="s">
        <v>88</v>
      </c>
      <c r="E46">
        <f t="shared" si="7"/>
        <v>33.035135466666659</v>
      </c>
      <c r="F46">
        <f t="shared" si="8"/>
        <v>46.538844800000007</v>
      </c>
      <c r="G46">
        <f t="shared" si="9"/>
        <v>79.573980266666666</v>
      </c>
    </row>
    <row r="47" spans="2:7" x14ac:dyDescent="0.2">
      <c r="C47" s="15">
        <v>4</v>
      </c>
      <c r="D47" s="4" t="s">
        <v>88</v>
      </c>
      <c r="E47">
        <f t="shared" si="7"/>
        <v>33.002133333333333</v>
      </c>
      <c r="F47">
        <f t="shared" si="8"/>
        <v>40.279884799999998</v>
      </c>
      <c r="G47">
        <f t="shared" si="9"/>
        <v>73.282018133333338</v>
      </c>
    </row>
    <row r="48" spans="2:7" x14ac:dyDescent="0.2">
      <c r="C48" s="15">
        <v>5</v>
      </c>
      <c r="D48" s="4" t="s">
        <v>88</v>
      </c>
      <c r="E48">
        <f t="shared" si="7"/>
        <v>31.022005333333333</v>
      </c>
      <c r="F48">
        <f t="shared" si="8"/>
        <v>29.347568000000003</v>
      </c>
      <c r="G48">
        <f t="shared" si="9"/>
        <v>60.369573333333335</v>
      </c>
    </row>
    <row r="49" spans="2:10" x14ac:dyDescent="0.2">
      <c r="C49" s="15">
        <v>6</v>
      </c>
      <c r="D49" s="4" t="s">
        <v>88</v>
      </c>
      <c r="E49">
        <f t="shared" si="7"/>
        <v>33.002133333333333</v>
      </c>
      <c r="F49">
        <f t="shared" si="8"/>
        <v>32.463139200000008</v>
      </c>
      <c r="G49">
        <f t="shared" si="9"/>
        <v>65.465272533333348</v>
      </c>
    </row>
    <row r="50" spans="2:10" x14ac:dyDescent="0.2">
      <c r="C50" s="15">
        <v>7</v>
      </c>
      <c r="D50" s="4" t="s">
        <v>88</v>
      </c>
      <c r="E50">
        <f t="shared" si="7"/>
        <v>33.002133333333333</v>
      </c>
      <c r="F50">
        <f t="shared" si="8"/>
        <v>32.045875199999998</v>
      </c>
      <c r="G50">
        <f t="shared" si="9"/>
        <v>65.048008533333331</v>
      </c>
    </row>
    <row r="51" spans="2:10" x14ac:dyDescent="0.2">
      <c r="C51" s="15">
        <v>8</v>
      </c>
      <c r="D51" s="4" t="s">
        <v>88</v>
      </c>
      <c r="E51">
        <f t="shared" si="7"/>
        <v>31.022005333333333</v>
      </c>
      <c r="F51">
        <f t="shared" si="8"/>
        <v>29.347568000000003</v>
      </c>
      <c r="G51">
        <f t="shared" si="9"/>
        <v>60.369573333333335</v>
      </c>
    </row>
    <row r="52" spans="2:10" x14ac:dyDescent="0.2">
      <c r="C52" s="15">
        <v>9</v>
      </c>
      <c r="D52" s="4" t="s">
        <v>88</v>
      </c>
      <c r="E52">
        <f t="shared" si="7"/>
        <v>33.035135466666659</v>
      </c>
      <c r="F52">
        <f t="shared" si="8"/>
        <v>32.463139200000008</v>
      </c>
      <c r="G52">
        <f t="shared" si="9"/>
        <v>65.498274666666674</v>
      </c>
    </row>
    <row r="53" spans="2:10" x14ac:dyDescent="0.2">
      <c r="C53" s="15">
        <v>10</v>
      </c>
      <c r="D53" s="4" t="s">
        <v>88</v>
      </c>
      <c r="E53">
        <f t="shared" si="7"/>
        <v>33.002133333333333</v>
      </c>
      <c r="F53">
        <f t="shared" si="8"/>
        <v>32.435321600000002</v>
      </c>
      <c r="G53">
        <f t="shared" si="9"/>
        <v>65.437454933333328</v>
      </c>
    </row>
    <row r="54" spans="2:10" x14ac:dyDescent="0.2">
      <c r="C54" s="15">
        <v>11</v>
      </c>
      <c r="D54" s="4" t="s">
        <v>88</v>
      </c>
      <c r="E54">
        <f t="shared" si="7"/>
        <v>33.002133333333333</v>
      </c>
      <c r="F54">
        <f t="shared" si="8"/>
        <v>29.764832000000006</v>
      </c>
      <c r="G54">
        <f t="shared" si="9"/>
        <v>62.766965333333339</v>
      </c>
    </row>
    <row r="55" spans="2:10" x14ac:dyDescent="0.2">
      <c r="C55" s="15">
        <v>12</v>
      </c>
      <c r="D55" s="4" t="s">
        <v>88</v>
      </c>
      <c r="E55">
        <f t="shared" si="7"/>
        <v>33.002133333333333</v>
      </c>
      <c r="F55">
        <f t="shared" si="8"/>
        <v>33.325484799999998</v>
      </c>
      <c r="G55">
        <f t="shared" si="9"/>
        <v>66.327618133333331</v>
      </c>
    </row>
    <row r="56" spans="2:10" x14ac:dyDescent="0.2">
      <c r="C56" s="15">
        <v>13</v>
      </c>
      <c r="D56" s="4" t="s">
        <v>88</v>
      </c>
      <c r="E56">
        <f t="shared" si="7"/>
        <v>33.035135466666659</v>
      </c>
      <c r="F56">
        <f t="shared" si="8"/>
        <v>30.960988799999999</v>
      </c>
      <c r="G56">
        <f t="shared" si="9"/>
        <v>63.996124266666655</v>
      </c>
    </row>
    <row r="57" spans="2:10" x14ac:dyDescent="0.2">
      <c r="C57" s="15">
        <v>14</v>
      </c>
      <c r="D57" s="4" t="s">
        <v>88</v>
      </c>
      <c r="E57">
        <f t="shared" si="7"/>
        <v>31.022005333333333</v>
      </c>
      <c r="F57">
        <f t="shared" si="8"/>
        <v>27.595059200000001</v>
      </c>
      <c r="G57">
        <f t="shared" si="9"/>
        <v>58.617064533333334</v>
      </c>
    </row>
    <row r="58" spans="2:10" x14ac:dyDescent="0.2">
      <c r="C58" s="15">
        <v>15</v>
      </c>
      <c r="D58" s="4" t="s">
        <v>88</v>
      </c>
      <c r="E58">
        <f t="shared" si="7"/>
        <v>31.022005333333333</v>
      </c>
      <c r="F58">
        <f t="shared" si="8"/>
        <v>29.319750400000004</v>
      </c>
      <c r="G58">
        <f t="shared" si="9"/>
        <v>60.341755733333336</v>
      </c>
    </row>
    <row r="59" spans="2:10" x14ac:dyDescent="0.2">
      <c r="C59" s="15">
        <v>16</v>
      </c>
      <c r="D59" s="4" t="s">
        <v>88</v>
      </c>
      <c r="E59">
        <f t="shared" si="7"/>
        <v>31.022005333333333</v>
      </c>
      <c r="F59">
        <f t="shared" si="8"/>
        <v>29.764832000000006</v>
      </c>
      <c r="G59">
        <f t="shared" si="9"/>
        <v>60.786837333333338</v>
      </c>
    </row>
    <row r="60" spans="2:10" x14ac:dyDescent="0.2">
      <c r="B60" s="8" t="s">
        <v>118</v>
      </c>
      <c r="C60" s="94" t="s">
        <v>117</v>
      </c>
      <c r="D60" s="94" t="s">
        <v>88</v>
      </c>
      <c r="E60" s="95">
        <f>$E$22*$H$81/$D$23</f>
        <v>32.476894904760861</v>
      </c>
      <c r="F60" s="95">
        <f>$D$22*$I$81/$D$23</f>
        <v>32.214033432022646</v>
      </c>
      <c r="G60" s="96">
        <f t="shared" si="9"/>
        <v>64.690928336783514</v>
      </c>
    </row>
    <row r="62" spans="2:10" x14ac:dyDescent="0.2">
      <c r="C62" s="15" t="s">
        <v>110</v>
      </c>
      <c r="D62" s="11"/>
      <c r="E62" s="12"/>
      <c r="F62" s="11"/>
      <c r="G62" s="3"/>
      <c r="H62" s="4"/>
      <c r="J62" s="1"/>
    </row>
    <row r="63" spans="2:10" ht="15.75" x14ac:dyDescent="0.25">
      <c r="C63" s="78" t="s">
        <v>94</v>
      </c>
      <c r="D63" s="79"/>
      <c r="E63" s="79"/>
      <c r="F63" s="79"/>
      <c r="G63" s="79"/>
      <c r="H63" s="79"/>
      <c r="I63" s="79"/>
      <c r="J63" s="1"/>
    </row>
    <row r="64" spans="2:10" ht="57" x14ac:dyDescent="0.2">
      <c r="C64" s="80" t="s">
        <v>9</v>
      </c>
      <c r="D64" s="80" t="s">
        <v>10</v>
      </c>
      <c r="E64" s="80" t="s">
        <v>95</v>
      </c>
      <c r="F64" s="80" t="s">
        <v>96</v>
      </c>
      <c r="G64" s="81" t="s">
        <v>97</v>
      </c>
      <c r="H64" s="81" t="s">
        <v>98</v>
      </c>
      <c r="I64" s="81" t="s">
        <v>99</v>
      </c>
      <c r="J64" s="1"/>
    </row>
    <row r="65" spans="3:10" x14ac:dyDescent="0.2">
      <c r="C65" s="82">
        <v>1</v>
      </c>
      <c r="D65" s="83" t="s">
        <v>11</v>
      </c>
      <c r="E65" s="84">
        <v>0.94</v>
      </c>
      <c r="F65" s="84">
        <v>1.0169999999999999</v>
      </c>
      <c r="G65" s="85">
        <v>3.2678012053238359E-3</v>
      </c>
      <c r="H65" s="85">
        <f>E65*G65</f>
        <v>3.0717331330044058E-3</v>
      </c>
      <c r="I65" s="85">
        <f t="shared" ref="I65:I80" si="10">F65*G65</f>
        <v>3.3233538258143408E-3</v>
      </c>
      <c r="J65" s="1"/>
    </row>
    <row r="66" spans="3:10" x14ac:dyDescent="0.2">
      <c r="C66" s="86">
        <v>2</v>
      </c>
      <c r="D66" s="83" t="s">
        <v>12</v>
      </c>
      <c r="E66" s="84">
        <v>0.94</v>
      </c>
      <c r="F66" s="84">
        <v>1.653</v>
      </c>
      <c r="G66" s="85">
        <v>9.6951641438708762E-3</v>
      </c>
      <c r="H66" s="85">
        <f t="shared" ref="H66:H80" si="11">E66*G66</f>
        <v>9.1134542952386235E-3</v>
      </c>
      <c r="I66" s="85">
        <f t="shared" si="10"/>
        <v>1.602610632981856E-2</v>
      </c>
    </row>
    <row r="67" spans="3:10" x14ac:dyDescent="0.2">
      <c r="C67" s="86">
        <v>3</v>
      </c>
      <c r="D67" s="83" t="s">
        <v>13</v>
      </c>
      <c r="E67" s="84">
        <v>1.0009999999999999</v>
      </c>
      <c r="F67" s="84">
        <v>1.673</v>
      </c>
      <c r="G67" s="85">
        <v>3.0273549494431465E-2</v>
      </c>
      <c r="H67" s="85">
        <f t="shared" si="11"/>
        <v>3.0303823043925891E-2</v>
      </c>
      <c r="I67" s="85">
        <f t="shared" si="10"/>
        <v>5.0647648304183841E-2</v>
      </c>
    </row>
    <row r="68" spans="3:10" x14ac:dyDescent="0.2">
      <c r="C68" s="86">
        <v>4</v>
      </c>
      <c r="D68" s="83" t="s">
        <v>14</v>
      </c>
      <c r="E68" s="84">
        <v>1</v>
      </c>
      <c r="F68" s="84">
        <v>1.448</v>
      </c>
      <c r="G68" s="85">
        <v>1.528624830392613E-2</v>
      </c>
      <c r="H68" s="85">
        <f t="shared" si="11"/>
        <v>1.528624830392613E-2</v>
      </c>
      <c r="I68" s="85">
        <f t="shared" si="10"/>
        <v>2.2134487544085035E-2</v>
      </c>
    </row>
    <row r="69" spans="3:10" x14ac:dyDescent="0.2">
      <c r="C69" s="86">
        <v>5</v>
      </c>
      <c r="D69" s="83" t="s">
        <v>15</v>
      </c>
      <c r="E69" s="84">
        <v>0.94</v>
      </c>
      <c r="F69" s="84">
        <v>1.0549999999999999</v>
      </c>
      <c r="G69" s="85">
        <v>4.3295788840252714E-4</v>
      </c>
      <c r="H69" s="85">
        <f t="shared" si="11"/>
        <v>4.0698041509837547E-4</v>
      </c>
      <c r="I69" s="85">
        <f t="shared" si="10"/>
        <v>4.5677057226466611E-4</v>
      </c>
    </row>
    <row r="70" spans="3:10" x14ac:dyDescent="0.2">
      <c r="C70" s="86">
        <v>6</v>
      </c>
      <c r="D70" s="83" t="s">
        <v>100</v>
      </c>
      <c r="E70" s="84">
        <v>1</v>
      </c>
      <c r="F70" s="84">
        <v>1.167</v>
      </c>
      <c r="G70" s="85">
        <v>0.13910447299618456</v>
      </c>
      <c r="H70" s="85">
        <f t="shared" si="11"/>
        <v>0.13910447299618456</v>
      </c>
      <c r="I70" s="85">
        <f t="shared" si="10"/>
        <v>0.16233491998654739</v>
      </c>
    </row>
    <row r="71" spans="3:10" x14ac:dyDescent="0.2">
      <c r="C71" s="86">
        <v>7</v>
      </c>
      <c r="D71" s="83" t="s">
        <v>101</v>
      </c>
      <c r="E71" s="84">
        <v>1</v>
      </c>
      <c r="F71" s="84">
        <v>1.1519999999999999</v>
      </c>
      <c r="G71" s="85">
        <v>4.6714352167431E-2</v>
      </c>
      <c r="H71" s="85">
        <f t="shared" si="11"/>
        <v>4.6714352167431E-2</v>
      </c>
      <c r="I71" s="85">
        <f t="shared" si="10"/>
        <v>5.3814933696880507E-2</v>
      </c>
    </row>
    <row r="72" spans="3:10" x14ac:dyDescent="0.2">
      <c r="C72" s="86">
        <v>8</v>
      </c>
      <c r="D72" s="83" t="s">
        <v>102</v>
      </c>
      <c r="E72" s="84">
        <v>0.94</v>
      </c>
      <c r="F72" s="84">
        <v>1.0549999999999999</v>
      </c>
      <c r="G72" s="85">
        <v>0.16224194872283865</v>
      </c>
      <c r="H72" s="85">
        <f t="shared" si="11"/>
        <v>0.15250743179946832</v>
      </c>
      <c r="I72" s="85">
        <f t="shared" si="10"/>
        <v>0.17116525590259477</v>
      </c>
    </row>
    <row r="73" spans="3:10" x14ac:dyDescent="0.2">
      <c r="C73" s="86">
        <v>9</v>
      </c>
      <c r="D73" s="83" t="s">
        <v>103</v>
      </c>
      <c r="E73" s="84">
        <v>1.0009999999999999</v>
      </c>
      <c r="F73" s="84">
        <v>1.167</v>
      </c>
      <c r="G73" s="85">
        <v>0.2181038248479171</v>
      </c>
      <c r="H73" s="85">
        <f t="shared" si="11"/>
        <v>0.21832192867276498</v>
      </c>
      <c r="I73" s="85">
        <f t="shared" si="10"/>
        <v>0.25452716359751926</v>
      </c>
    </row>
    <row r="74" spans="3:10" x14ac:dyDescent="0.2">
      <c r="C74" s="86">
        <v>10</v>
      </c>
      <c r="D74" s="83" t="s">
        <v>104</v>
      </c>
      <c r="E74" s="84">
        <v>1</v>
      </c>
      <c r="F74" s="84">
        <v>1.1659999999999999</v>
      </c>
      <c r="G74" s="85">
        <v>0.21277818510753721</v>
      </c>
      <c r="H74" s="85">
        <f t="shared" si="11"/>
        <v>0.21277818510753721</v>
      </c>
      <c r="I74" s="85">
        <f t="shared" si="10"/>
        <v>0.24809936383538836</v>
      </c>
    </row>
    <row r="75" spans="3:10" x14ac:dyDescent="0.2">
      <c r="C75" s="86">
        <v>11</v>
      </c>
      <c r="D75" s="83" t="s">
        <v>16</v>
      </c>
      <c r="E75" s="84">
        <v>1</v>
      </c>
      <c r="F75" s="84">
        <v>1.07</v>
      </c>
      <c r="G75" s="85">
        <v>1.0238938634662145E-2</v>
      </c>
      <c r="H75" s="85">
        <f t="shared" si="11"/>
        <v>1.0238938634662145E-2</v>
      </c>
      <c r="I75" s="85">
        <f t="shared" si="10"/>
        <v>1.0955664339088496E-2</v>
      </c>
    </row>
    <row r="76" spans="3:10" x14ac:dyDescent="0.2">
      <c r="C76" s="86">
        <v>12</v>
      </c>
      <c r="D76" s="83" t="s">
        <v>17</v>
      </c>
      <c r="E76" s="84">
        <v>1</v>
      </c>
      <c r="F76" s="84">
        <v>1.198</v>
      </c>
      <c r="G76" s="85">
        <v>3.6051475600374715E-2</v>
      </c>
      <c r="H76" s="85">
        <f t="shared" si="11"/>
        <v>3.6051475600374715E-2</v>
      </c>
      <c r="I76" s="85">
        <f t="shared" si="10"/>
        <v>4.3189667769248909E-2</v>
      </c>
    </row>
    <row r="77" spans="3:10" x14ac:dyDescent="0.2">
      <c r="C77" s="86">
        <v>13</v>
      </c>
      <c r="D77" s="83" t="s">
        <v>18</v>
      </c>
      <c r="E77" s="84">
        <v>1.0009999999999999</v>
      </c>
      <c r="F77" s="84">
        <v>1.113</v>
      </c>
      <c r="G77" s="85">
        <v>2.1692994200168285E-2</v>
      </c>
      <c r="H77" s="85">
        <f t="shared" si="11"/>
        <v>2.1714687194368452E-2</v>
      </c>
      <c r="I77" s="85">
        <f t="shared" si="10"/>
        <v>2.4144302544787302E-2</v>
      </c>
    </row>
    <row r="78" spans="3:10" x14ac:dyDescent="0.2">
      <c r="C78" s="86">
        <v>14</v>
      </c>
      <c r="D78" s="83" t="s">
        <v>105</v>
      </c>
      <c r="E78" s="84">
        <v>0.94</v>
      </c>
      <c r="F78" s="84">
        <v>0.99199999999999999</v>
      </c>
      <c r="G78" s="85">
        <v>3.4945886706775404E-2</v>
      </c>
      <c r="H78" s="85">
        <f t="shared" si="11"/>
        <v>3.2849133504368876E-2</v>
      </c>
      <c r="I78" s="85">
        <f t="shared" si="10"/>
        <v>3.4666319613121201E-2</v>
      </c>
    </row>
    <row r="79" spans="3:10" x14ac:dyDescent="0.2">
      <c r="C79" s="86">
        <v>15</v>
      </c>
      <c r="D79" s="83" t="s">
        <v>106</v>
      </c>
      <c r="E79" s="84">
        <v>0.94</v>
      </c>
      <c r="F79" s="84">
        <v>1.054</v>
      </c>
      <c r="G79" s="85">
        <v>4.7198852661595736E-2</v>
      </c>
      <c r="H79" s="85">
        <f t="shared" si="11"/>
        <v>4.436692150189999E-2</v>
      </c>
      <c r="I79" s="85">
        <f t="shared" si="10"/>
        <v>4.9747590705321906E-2</v>
      </c>
    </row>
    <row r="80" spans="3:10" x14ac:dyDescent="0.2">
      <c r="C80" s="86">
        <v>16</v>
      </c>
      <c r="D80" s="83" t="s">
        <v>19</v>
      </c>
      <c r="E80" s="84">
        <v>0.94</v>
      </c>
      <c r="F80" s="84">
        <v>1.07</v>
      </c>
      <c r="G80" s="85">
        <v>1.1973347318560363E-2</v>
      </c>
      <c r="H80" s="85">
        <f t="shared" si="11"/>
        <v>1.1254946479446741E-2</v>
      </c>
      <c r="I80" s="85">
        <f t="shared" si="10"/>
        <v>1.2811481630859588E-2</v>
      </c>
    </row>
    <row r="81" spans="3:9" x14ac:dyDescent="0.2">
      <c r="C81" s="93" t="s">
        <v>8</v>
      </c>
      <c r="D81" s="83" t="s">
        <v>107</v>
      </c>
      <c r="E81" s="84">
        <f>AVERAGE(E65:E80)</f>
        <v>0.97393749999999979</v>
      </c>
      <c r="F81" s="84">
        <f>AVERAGE(F65:F80)</f>
        <v>1.1906249999999998</v>
      </c>
      <c r="G81" s="85">
        <f>SUM(G65:G80)</f>
        <v>1</v>
      </c>
      <c r="H81" s="85">
        <f>SUM(H65:H80)</f>
        <v>0.98408471284970045</v>
      </c>
      <c r="I81" s="85">
        <f>SUM(I65:I80)</f>
        <v>1.158045030197524</v>
      </c>
    </row>
    <row r="82" spans="3:9" x14ac:dyDescent="0.2">
      <c r="C82" s="87" t="s">
        <v>108</v>
      </c>
      <c r="D82" s="88"/>
      <c r="E82" s="89"/>
      <c r="F82" s="89"/>
      <c r="G82" s="79"/>
      <c r="H82" s="79"/>
      <c r="I82" s="79"/>
    </row>
    <row r="83" spans="3:9" x14ac:dyDescent="0.2">
      <c r="C83" s="87" t="s">
        <v>109</v>
      </c>
      <c r="D83" s="88"/>
      <c r="E83" s="89"/>
      <c r="F83" s="89"/>
      <c r="G83" s="79"/>
      <c r="H83" s="79"/>
      <c r="I83" s="79"/>
    </row>
  </sheetData>
  <pageMargins left="0.7" right="0.7" top="0.75" bottom="0.75" header="0.3" footer="0.3"/>
  <pageSetup paperSize="1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E4DB2-0050-43B4-A930-26F9FA152667}">
  <dimension ref="A1:K5"/>
  <sheetViews>
    <sheetView workbookViewId="0"/>
  </sheetViews>
  <sheetFormatPr defaultRowHeight="12.75" x14ac:dyDescent="0.2"/>
  <cols>
    <col min="1" max="1" width="39.42578125" bestFit="1" customWidth="1"/>
    <col min="2" max="2" width="16.85546875" bestFit="1" customWidth="1"/>
    <col min="3" max="3" width="10" bestFit="1" customWidth="1"/>
    <col min="4" max="7" width="9.140625" hidden="1" customWidth="1"/>
  </cols>
  <sheetData>
    <row r="1" spans="1:11" x14ac:dyDescent="0.2">
      <c r="A1" t="s">
        <v>119</v>
      </c>
    </row>
    <row r="2" spans="1:11" ht="60" x14ac:dyDescent="0.25">
      <c r="A2" s="127" t="s">
        <v>120</v>
      </c>
      <c r="B2" s="127" t="s">
        <v>74</v>
      </c>
      <c r="C2" s="127" t="s">
        <v>121</v>
      </c>
      <c r="D2" s="127" t="s">
        <v>122</v>
      </c>
      <c r="E2" s="128" t="s">
        <v>123</v>
      </c>
      <c r="F2" s="128" t="s">
        <v>124</v>
      </c>
      <c r="G2" s="128" t="s">
        <v>125</v>
      </c>
      <c r="H2" s="127" t="s">
        <v>122</v>
      </c>
      <c r="I2" s="129" t="s">
        <v>123</v>
      </c>
      <c r="J2" s="129" t="s">
        <v>124</v>
      </c>
      <c r="K2" s="129" t="s">
        <v>125</v>
      </c>
    </row>
    <row r="3" spans="1:11" x14ac:dyDescent="0.2">
      <c r="A3" s="134" t="s">
        <v>126</v>
      </c>
      <c r="B3" s="134" t="s">
        <v>129</v>
      </c>
      <c r="C3" s="130" t="s">
        <v>130</v>
      </c>
      <c r="D3" s="131" t="s">
        <v>127</v>
      </c>
      <c r="E3" s="132">
        <v>19.64</v>
      </c>
      <c r="F3" s="132">
        <v>19.78</v>
      </c>
      <c r="G3" s="132">
        <v>39.42</v>
      </c>
      <c r="H3" s="131" t="s">
        <v>128</v>
      </c>
      <c r="I3" s="133">
        <v>21.988349589050873</v>
      </c>
      <c r="J3" s="133">
        <v>28.01</v>
      </c>
      <c r="K3" s="133">
        <v>49.998349589050875</v>
      </c>
    </row>
    <row r="4" spans="1:11" x14ac:dyDescent="0.2">
      <c r="A4" s="134"/>
      <c r="B4" s="134"/>
      <c r="C4" s="130" t="s">
        <v>24</v>
      </c>
      <c r="D4" s="131" t="s">
        <v>127</v>
      </c>
      <c r="E4" s="132">
        <v>84.78</v>
      </c>
      <c r="F4" s="132">
        <v>52</v>
      </c>
      <c r="G4" s="132">
        <v>136.78</v>
      </c>
      <c r="H4" s="131" t="s">
        <v>128</v>
      </c>
      <c r="I4" s="133">
        <v>69.605333333333334</v>
      </c>
      <c r="J4" s="133">
        <v>56.87</v>
      </c>
      <c r="K4" s="133">
        <v>126.47533333333334</v>
      </c>
    </row>
    <row r="5" spans="1:11" x14ac:dyDescent="0.2">
      <c r="I5" s="135">
        <f>I4-I3</f>
        <v>47.616983744282464</v>
      </c>
      <c r="J5" s="135">
        <f>J4-J3</f>
        <v>28.859999999999996</v>
      </c>
      <c r="K5" s="135">
        <f>I5+J5</f>
        <v>76.476983744282464</v>
      </c>
    </row>
  </sheetData>
  <mergeCells count="2">
    <mergeCell ref="A3:A4"/>
    <mergeCell ref="B3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N38"/>
  <sheetViews>
    <sheetView workbookViewId="0">
      <selection activeCell="H11" sqref="H11"/>
    </sheetView>
  </sheetViews>
  <sheetFormatPr defaultRowHeight="12.75" x14ac:dyDescent="0.2"/>
  <cols>
    <col min="3" max="3" width="16.28515625" customWidth="1"/>
    <col min="4" max="4" width="11.7109375" customWidth="1"/>
    <col min="5" max="5" width="22.5703125" bestFit="1" customWidth="1"/>
    <col min="6" max="6" width="15" bestFit="1" customWidth="1"/>
    <col min="8" max="8" width="46.85546875" bestFit="1" customWidth="1"/>
    <col min="9" max="9" width="7" bestFit="1" customWidth="1"/>
    <col min="10" max="10" width="22.5703125" bestFit="1" customWidth="1"/>
    <col min="11" max="11" width="15" bestFit="1" customWidth="1"/>
  </cols>
  <sheetData>
    <row r="3" spans="3:14" x14ac:dyDescent="0.2">
      <c r="C3" s="1" t="s">
        <v>31</v>
      </c>
    </row>
    <row r="4" spans="3:14" x14ac:dyDescent="0.2">
      <c r="E4" s="5">
        <v>1</v>
      </c>
    </row>
    <row r="5" spans="3:14" x14ac:dyDescent="0.2">
      <c r="C5" s="1" t="s">
        <v>5</v>
      </c>
      <c r="D5" s="1" t="s">
        <v>6</v>
      </c>
      <c r="E5" s="1" t="s">
        <v>20</v>
      </c>
      <c r="F5" s="1" t="s">
        <v>7</v>
      </c>
      <c r="L5" s="1"/>
      <c r="M5" s="1"/>
      <c r="N5" s="1"/>
    </row>
    <row r="6" spans="3:14" x14ac:dyDescent="0.2">
      <c r="C6">
        <v>1</v>
      </c>
      <c r="D6">
        <v>254.39</v>
      </c>
      <c r="E6">
        <f>$E$4*D6</f>
        <v>254.39</v>
      </c>
      <c r="F6">
        <f t="shared" ref="F6" si="0">SUM(D6:E6)</f>
        <v>508.78</v>
      </c>
    </row>
    <row r="8" spans="3:14" x14ac:dyDescent="0.2">
      <c r="C8" s="1" t="s">
        <v>32</v>
      </c>
      <c r="E8" s="5">
        <v>0.1</v>
      </c>
    </row>
    <row r="9" spans="3:14" x14ac:dyDescent="0.2">
      <c r="C9" s="1" t="s">
        <v>21</v>
      </c>
      <c r="D9" s="1" t="s">
        <v>6</v>
      </c>
      <c r="E9" s="1" t="s">
        <v>22</v>
      </c>
      <c r="F9" s="1" t="s">
        <v>7</v>
      </c>
      <c r="L9" s="1"/>
    </row>
    <row r="10" spans="3:14" x14ac:dyDescent="0.2">
      <c r="C10" s="7" t="s">
        <v>33</v>
      </c>
      <c r="D10">
        <v>428</v>
      </c>
      <c r="E10">
        <f>D10*$E$8</f>
        <v>42.800000000000004</v>
      </c>
      <c r="F10">
        <f t="shared" ref="F10:F11" si="1">SUM(D10:E10)</f>
        <v>470.8</v>
      </c>
    </row>
    <row r="11" spans="3:14" x14ac:dyDescent="0.2">
      <c r="C11" s="1" t="s">
        <v>34</v>
      </c>
      <c r="D11">
        <v>180</v>
      </c>
      <c r="E11">
        <f>D11*$E$8</f>
        <v>18</v>
      </c>
      <c r="F11">
        <f t="shared" si="1"/>
        <v>198</v>
      </c>
    </row>
    <row r="13" spans="3:14" x14ac:dyDescent="0.2">
      <c r="E13" s="1" t="s">
        <v>8</v>
      </c>
      <c r="F13" s="13">
        <f>AVERAGE(F6,F10:F11)</f>
        <v>392.52666666666664</v>
      </c>
    </row>
    <row r="17" spans="3:3" x14ac:dyDescent="0.2">
      <c r="C17" s="17" t="s">
        <v>28</v>
      </c>
    </row>
    <row r="24" spans="3:3" x14ac:dyDescent="0.2">
      <c r="C24" s="18" t="s">
        <v>27</v>
      </c>
    </row>
    <row r="25" spans="3:3" x14ac:dyDescent="0.2">
      <c r="C25" t="s">
        <v>26</v>
      </c>
    </row>
    <row r="37" spans="3:3" x14ac:dyDescent="0.2">
      <c r="C37" s="18" t="s">
        <v>29</v>
      </c>
    </row>
    <row r="38" spans="3:3" x14ac:dyDescent="0.2">
      <c r="C38" t="s">
        <v>30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X21"/>
  <sheetViews>
    <sheetView topLeftCell="C1" workbookViewId="0">
      <selection activeCell="F30" sqref="F30"/>
    </sheetView>
  </sheetViews>
  <sheetFormatPr defaultRowHeight="12.75" x14ac:dyDescent="0.2"/>
  <cols>
    <col min="3" max="3" width="23.28515625" customWidth="1"/>
    <col min="4" max="4" width="18.7109375" customWidth="1"/>
    <col min="5" max="5" width="10.42578125" bestFit="1" customWidth="1"/>
    <col min="6" max="6" width="62.28515625" customWidth="1"/>
    <col min="7" max="7" width="13.85546875" customWidth="1"/>
    <col min="8" max="8" width="9.28515625" bestFit="1" customWidth="1"/>
    <col min="9" max="9" width="8" customWidth="1"/>
    <col min="10" max="10" width="12.140625" bestFit="1" customWidth="1"/>
    <col min="11" max="11" width="7.140625" bestFit="1" customWidth="1"/>
    <col min="12" max="12" width="12.28515625" bestFit="1" customWidth="1"/>
    <col min="13" max="13" width="11.7109375" bestFit="1" customWidth="1"/>
    <col min="14" max="14" width="12.28515625" bestFit="1" customWidth="1"/>
    <col min="15" max="15" width="12" customWidth="1"/>
    <col min="16" max="16" width="13.5703125" customWidth="1"/>
    <col min="17" max="17" width="14.28515625" customWidth="1"/>
    <col min="18" max="18" width="0" hidden="1" customWidth="1"/>
    <col min="19" max="19" width="10" customWidth="1"/>
    <col min="20" max="20" width="10.85546875" customWidth="1"/>
    <col min="21" max="21" width="14.5703125" customWidth="1"/>
    <col min="22" max="22" width="9.42578125" customWidth="1"/>
    <col min="23" max="23" width="13" customWidth="1"/>
    <col min="24" max="24" width="16" customWidth="1"/>
  </cols>
  <sheetData>
    <row r="2" spans="3:24" ht="13.5" thickBot="1" x14ac:dyDescent="0.25">
      <c r="C2" s="18" t="s">
        <v>86</v>
      </c>
    </row>
    <row r="3" spans="3:24" x14ac:dyDescent="0.2">
      <c r="C3" s="101" t="s">
        <v>45</v>
      </c>
      <c r="D3" s="103" t="s">
        <v>46</v>
      </c>
      <c r="E3" s="105" t="s">
        <v>47</v>
      </c>
      <c r="F3" s="107" t="s">
        <v>48</v>
      </c>
      <c r="G3" s="109" t="s">
        <v>49</v>
      </c>
      <c r="H3" s="107" t="s">
        <v>50</v>
      </c>
      <c r="I3" s="123" t="s">
        <v>23</v>
      </c>
      <c r="J3" s="121" t="s">
        <v>51</v>
      </c>
      <c r="K3" s="125" t="s">
        <v>52</v>
      </c>
      <c r="L3" s="111" t="s">
        <v>53</v>
      </c>
      <c r="M3" s="97" t="s">
        <v>54</v>
      </c>
      <c r="N3" s="99" t="s">
        <v>55</v>
      </c>
      <c r="O3" s="111" t="s">
        <v>56</v>
      </c>
      <c r="P3" s="113" t="s">
        <v>57</v>
      </c>
      <c r="Q3" s="121" t="s">
        <v>58</v>
      </c>
      <c r="R3" s="111" t="s">
        <v>59</v>
      </c>
      <c r="S3" s="111" t="s">
        <v>60</v>
      </c>
      <c r="T3" s="111" t="s">
        <v>61</v>
      </c>
      <c r="U3" s="111" t="s">
        <v>62</v>
      </c>
      <c r="V3" s="111" t="s">
        <v>63</v>
      </c>
      <c r="W3" s="111" t="s">
        <v>64</v>
      </c>
      <c r="X3" s="113" t="s">
        <v>65</v>
      </c>
    </row>
    <row r="4" spans="3:24" ht="13.5" thickBot="1" x14ac:dyDescent="0.25">
      <c r="C4" s="102"/>
      <c r="D4" s="104"/>
      <c r="E4" s="106"/>
      <c r="F4" s="108"/>
      <c r="G4" s="110"/>
      <c r="H4" s="108"/>
      <c r="I4" s="124"/>
      <c r="J4" s="122"/>
      <c r="K4" s="126"/>
      <c r="L4" s="112"/>
      <c r="M4" s="98"/>
      <c r="N4" s="100"/>
      <c r="O4" s="112"/>
      <c r="P4" s="114"/>
      <c r="Q4" s="122"/>
      <c r="R4" s="112"/>
      <c r="S4" s="112"/>
      <c r="T4" s="112"/>
      <c r="U4" s="112"/>
      <c r="V4" s="112"/>
      <c r="W4" s="112"/>
      <c r="X4" s="114"/>
    </row>
    <row r="5" spans="3:24" x14ac:dyDescent="0.2">
      <c r="C5" s="115" t="s">
        <v>66</v>
      </c>
      <c r="D5" s="118" t="s">
        <v>67</v>
      </c>
      <c r="E5" s="19" t="s">
        <v>68</v>
      </c>
      <c r="F5" s="20" t="s">
        <v>69</v>
      </c>
      <c r="G5" s="21" t="s">
        <v>70</v>
      </c>
      <c r="H5" s="21" t="s">
        <v>71</v>
      </c>
      <c r="I5" s="22" t="s">
        <v>72</v>
      </c>
      <c r="J5" s="23">
        <v>0</v>
      </c>
      <c r="K5" s="24">
        <v>0</v>
      </c>
      <c r="L5" s="25">
        <v>0</v>
      </c>
      <c r="M5" s="25">
        <v>0</v>
      </c>
      <c r="N5" s="25">
        <v>0</v>
      </c>
      <c r="O5" s="25">
        <v>0</v>
      </c>
      <c r="P5" s="26" t="s">
        <v>73</v>
      </c>
      <c r="Q5" s="27"/>
      <c r="R5" s="28"/>
      <c r="S5" s="28"/>
      <c r="T5" s="28"/>
      <c r="U5" s="28"/>
      <c r="V5" s="28"/>
      <c r="W5" s="28"/>
      <c r="X5" s="29"/>
    </row>
    <row r="6" spans="3:24" x14ac:dyDescent="0.2">
      <c r="C6" s="116"/>
      <c r="D6" s="119"/>
      <c r="E6" s="30" t="s">
        <v>74</v>
      </c>
      <c r="F6" s="31" t="s">
        <v>75</v>
      </c>
      <c r="G6" s="32" t="s">
        <v>70</v>
      </c>
      <c r="H6" s="32" t="s">
        <v>71</v>
      </c>
      <c r="I6" s="33" t="s">
        <v>72</v>
      </c>
      <c r="J6" s="34">
        <v>529.04851671735207</v>
      </c>
      <c r="K6" s="35">
        <v>7.5</v>
      </c>
      <c r="L6" s="36">
        <v>86.931249390275852</v>
      </c>
      <c r="M6" s="36">
        <v>651.98437042706894</v>
      </c>
      <c r="N6" s="36">
        <v>1192.125</v>
      </c>
      <c r="O6" s="36">
        <v>2373.1578871444208</v>
      </c>
      <c r="P6" s="37">
        <v>2373.1578871444208</v>
      </c>
      <c r="Q6" s="27"/>
      <c r="R6" s="28"/>
      <c r="S6" s="28"/>
      <c r="T6" s="28"/>
      <c r="U6" s="28"/>
      <c r="V6" s="28"/>
      <c r="W6" s="28"/>
      <c r="X6" s="29"/>
    </row>
    <row r="7" spans="3:24" x14ac:dyDescent="0.2">
      <c r="C7" s="116"/>
      <c r="D7" s="119"/>
      <c r="E7" s="30" t="s">
        <v>74</v>
      </c>
      <c r="F7" s="31" t="s">
        <v>76</v>
      </c>
      <c r="G7" s="32" t="s">
        <v>70</v>
      </c>
      <c r="H7" s="32" t="s">
        <v>71</v>
      </c>
      <c r="I7" s="33" t="s">
        <v>72</v>
      </c>
      <c r="J7" s="34">
        <v>529.04851671735207</v>
      </c>
      <c r="K7" s="35">
        <v>7.5</v>
      </c>
      <c r="L7" s="36">
        <v>86.931249390275852</v>
      </c>
      <c r="M7" s="36">
        <v>651.98437042706894</v>
      </c>
      <c r="N7" s="36">
        <v>1192.125</v>
      </c>
      <c r="O7" s="36">
        <v>2373.1578871444208</v>
      </c>
      <c r="P7" s="37">
        <v>2373.1578871444208</v>
      </c>
      <c r="Q7" s="27"/>
      <c r="R7" s="28"/>
      <c r="S7" s="28"/>
      <c r="T7" s="28"/>
      <c r="U7" s="28"/>
      <c r="V7" s="28"/>
      <c r="W7" s="28"/>
      <c r="X7" s="29"/>
    </row>
    <row r="8" spans="3:24" x14ac:dyDescent="0.2">
      <c r="C8" s="116"/>
      <c r="D8" s="119"/>
      <c r="E8" s="30" t="s">
        <v>74</v>
      </c>
      <c r="F8" s="31" t="s">
        <v>77</v>
      </c>
      <c r="G8" s="32" t="s">
        <v>70</v>
      </c>
      <c r="H8" s="32" t="s">
        <v>71</v>
      </c>
      <c r="I8" s="33" t="s">
        <v>72</v>
      </c>
      <c r="J8" s="34">
        <v>597.23272511735206</v>
      </c>
      <c r="K8" s="35">
        <v>7.5</v>
      </c>
      <c r="L8" s="36">
        <v>86.931249390275852</v>
      </c>
      <c r="M8" s="36">
        <v>651.98437042706894</v>
      </c>
      <c r="N8" s="36">
        <v>1192.125</v>
      </c>
      <c r="O8" s="36">
        <v>2441.3420955444208</v>
      </c>
      <c r="P8" s="37">
        <v>2441.3420955444208</v>
      </c>
      <c r="Q8" s="27"/>
      <c r="R8" s="28"/>
      <c r="S8" s="28"/>
      <c r="T8" s="28"/>
      <c r="U8" s="28"/>
      <c r="V8" s="28"/>
      <c r="W8" s="28"/>
      <c r="X8" s="29"/>
    </row>
    <row r="9" spans="3:24" x14ac:dyDescent="0.2">
      <c r="C9" s="116"/>
      <c r="D9" s="119"/>
      <c r="E9" s="30" t="s">
        <v>74</v>
      </c>
      <c r="F9" s="31" t="s">
        <v>78</v>
      </c>
      <c r="G9" s="32" t="s">
        <v>70</v>
      </c>
      <c r="H9" s="32" t="s">
        <v>71</v>
      </c>
      <c r="I9" s="33" t="s">
        <v>72</v>
      </c>
      <c r="J9" s="34">
        <v>490.11159373235211</v>
      </c>
      <c r="K9" s="35">
        <v>7.5</v>
      </c>
      <c r="L9" s="36">
        <v>86.931249390275852</v>
      </c>
      <c r="M9" s="36">
        <v>651.98437042706894</v>
      </c>
      <c r="N9" s="36">
        <v>1192.125</v>
      </c>
      <c r="O9" s="36">
        <v>2334.2209641594209</v>
      </c>
      <c r="P9" s="37">
        <v>2334.2209641594209</v>
      </c>
      <c r="Q9" s="27"/>
      <c r="R9" s="28"/>
      <c r="S9" s="28"/>
      <c r="T9" s="28"/>
      <c r="U9" s="28"/>
      <c r="V9" s="28"/>
      <c r="W9" s="28"/>
      <c r="X9" s="29"/>
    </row>
    <row r="10" spans="3:24" x14ac:dyDescent="0.2">
      <c r="C10" s="116"/>
      <c r="D10" s="119"/>
      <c r="E10" s="30" t="s">
        <v>74</v>
      </c>
      <c r="F10" s="31" t="s">
        <v>79</v>
      </c>
      <c r="G10" s="32" t="s">
        <v>70</v>
      </c>
      <c r="H10" s="32" t="s">
        <v>71</v>
      </c>
      <c r="I10" s="33" t="s">
        <v>72</v>
      </c>
      <c r="J10" s="34">
        <v>356.34780514735212</v>
      </c>
      <c r="K10" s="35">
        <v>7.5</v>
      </c>
      <c r="L10" s="36">
        <v>86.931249390275852</v>
      </c>
      <c r="M10" s="36">
        <v>651.98437042706894</v>
      </c>
      <c r="N10" s="36">
        <v>1192.125</v>
      </c>
      <c r="O10" s="36">
        <v>2200.4571755744209</v>
      </c>
      <c r="P10" s="37">
        <v>2200.4571755744209</v>
      </c>
      <c r="Q10" s="27"/>
      <c r="R10" s="28"/>
      <c r="S10" s="28"/>
      <c r="T10" s="28"/>
      <c r="U10" s="28"/>
      <c r="V10" s="28"/>
      <c r="W10" s="28"/>
      <c r="X10" s="29"/>
    </row>
    <row r="11" spans="3:24" x14ac:dyDescent="0.2">
      <c r="C11" s="116"/>
      <c r="D11" s="119"/>
      <c r="E11" s="38" t="s">
        <v>74</v>
      </c>
      <c r="F11" s="39" t="s">
        <v>80</v>
      </c>
      <c r="G11" s="40" t="s">
        <v>70</v>
      </c>
      <c r="H11" s="40" t="s">
        <v>71</v>
      </c>
      <c r="I11" s="41" t="s">
        <v>72</v>
      </c>
      <c r="J11" s="42">
        <v>440.08058256735211</v>
      </c>
      <c r="K11" s="43">
        <v>7.5</v>
      </c>
      <c r="L11" s="44">
        <v>86.931249390275852</v>
      </c>
      <c r="M11" s="44">
        <v>651.98437042706894</v>
      </c>
      <c r="N11" s="44">
        <v>1192.125</v>
      </c>
      <c r="O11" s="44">
        <v>2284.1899529944208</v>
      </c>
      <c r="P11" s="45">
        <v>2284.1899529944208</v>
      </c>
      <c r="Q11" s="27"/>
      <c r="R11" s="28"/>
      <c r="S11" s="28"/>
      <c r="T11" s="28"/>
      <c r="U11" s="28"/>
      <c r="V11" s="28"/>
      <c r="W11" s="28"/>
      <c r="X11" s="29"/>
    </row>
    <row r="12" spans="3:24" x14ac:dyDescent="0.2">
      <c r="C12" s="116"/>
      <c r="D12" s="119"/>
      <c r="E12" s="30" t="s">
        <v>74</v>
      </c>
      <c r="F12" s="31" t="s">
        <v>81</v>
      </c>
      <c r="G12" s="32" t="s">
        <v>70</v>
      </c>
      <c r="H12" s="32" t="s">
        <v>71</v>
      </c>
      <c r="I12" s="33" t="s">
        <v>72</v>
      </c>
      <c r="J12" s="34">
        <v>522.16139384235214</v>
      </c>
      <c r="K12" s="35">
        <v>7.5</v>
      </c>
      <c r="L12" s="36">
        <v>86.931249390275852</v>
      </c>
      <c r="M12" s="36">
        <v>651.98437042706894</v>
      </c>
      <c r="N12" s="36">
        <v>1192.125</v>
      </c>
      <c r="O12" s="36">
        <v>2366.2707642694209</v>
      </c>
      <c r="P12" s="37">
        <v>2366.2707642694209</v>
      </c>
      <c r="Q12" s="27"/>
      <c r="R12" s="28"/>
      <c r="S12" s="28"/>
      <c r="T12" s="28"/>
      <c r="U12" s="28"/>
      <c r="V12" s="28"/>
      <c r="W12" s="28"/>
      <c r="X12" s="29"/>
    </row>
    <row r="13" spans="3:24" x14ac:dyDescent="0.2">
      <c r="C13" s="116"/>
      <c r="D13" s="119"/>
      <c r="E13" s="30" t="s">
        <v>74</v>
      </c>
      <c r="F13" s="31" t="s">
        <v>82</v>
      </c>
      <c r="G13" s="32" t="s">
        <v>70</v>
      </c>
      <c r="H13" s="32" t="s">
        <v>71</v>
      </c>
      <c r="I13" s="33" t="s">
        <v>72</v>
      </c>
      <c r="J13" s="34">
        <v>415.04026245735213</v>
      </c>
      <c r="K13" s="35">
        <v>7.5</v>
      </c>
      <c r="L13" s="36">
        <v>86.931249390275852</v>
      </c>
      <c r="M13" s="36">
        <v>651.98437042706894</v>
      </c>
      <c r="N13" s="36">
        <v>1192.125</v>
      </c>
      <c r="O13" s="36">
        <v>2259.149632884421</v>
      </c>
      <c r="P13" s="37">
        <v>2259.149632884421</v>
      </c>
      <c r="Q13" s="27"/>
      <c r="R13" s="28"/>
      <c r="S13" s="28"/>
      <c r="T13" s="28"/>
      <c r="U13" s="28"/>
      <c r="V13" s="28"/>
      <c r="W13" s="28"/>
      <c r="X13" s="29"/>
    </row>
    <row r="14" spans="3:24" ht="25.5" x14ac:dyDescent="0.2">
      <c r="C14" s="116"/>
      <c r="D14" s="119"/>
      <c r="E14" s="30" t="s">
        <v>74</v>
      </c>
      <c r="F14" s="31" t="s">
        <v>83</v>
      </c>
      <c r="G14" s="32" t="s">
        <v>70</v>
      </c>
      <c r="H14" s="32" t="s">
        <v>71</v>
      </c>
      <c r="I14" s="33" t="s">
        <v>72</v>
      </c>
      <c r="J14" s="34">
        <v>498.77303987735212</v>
      </c>
      <c r="K14" s="35">
        <v>7.5</v>
      </c>
      <c r="L14" s="36">
        <v>86.931249390275852</v>
      </c>
      <c r="M14" s="36">
        <v>651.98437042706894</v>
      </c>
      <c r="N14" s="36">
        <v>1192.125</v>
      </c>
      <c r="O14" s="36">
        <v>2342.8824103044208</v>
      </c>
      <c r="P14" s="37">
        <v>2342.8824103044208</v>
      </c>
      <c r="Q14" s="27"/>
      <c r="R14" s="28"/>
      <c r="S14" s="28"/>
      <c r="T14" s="28"/>
      <c r="U14" s="28"/>
      <c r="V14" s="28"/>
      <c r="W14" s="28"/>
      <c r="X14" s="29"/>
    </row>
    <row r="15" spans="3:24" ht="25.5" x14ac:dyDescent="0.2">
      <c r="C15" s="116"/>
      <c r="D15" s="119"/>
      <c r="E15" s="30" t="s">
        <v>74</v>
      </c>
      <c r="F15" s="31" t="s">
        <v>84</v>
      </c>
      <c r="G15" s="32" t="s">
        <v>70</v>
      </c>
      <c r="H15" s="32" t="s">
        <v>71</v>
      </c>
      <c r="I15" s="33" t="s">
        <v>72</v>
      </c>
      <c r="J15" s="34">
        <v>580.85385115235204</v>
      </c>
      <c r="K15" s="35">
        <v>7.5</v>
      </c>
      <c r="L15" s="36">
        <v>86.931249390275852</v>
      </c>
      <c r="M15" s="36">
        <v>651.98437042706894</v>
      </c>
      <c r="N15" s="36">
        <v>1192.125</v>
      </c>
      <c r="O15" s="36">
        <v>2424.9632215794209</v>
      </c>
      <c r="P15" s="37">
        <v>2424.9632215794209</v>
      </c>
      <c r="Q15" s="27"/>
      <c r="R15" s="28"/>
      <c r="S15" s="28"/>
      <c r="T15" s="28"/>
      <c r="U15" s="28"/>
      <c r="V15" s="28"/>
      <c r="W15" s="28"/>
      <c r="X15" s="29"/>
    </row>
    <row r="16" spans="3:24" ht="26.25" thickBot="1" x14ac:dyDescent="0.25">
      <c r="C16" s="117"/>
      <c r="D16" s="120"/>
      <c r="E16" s="46" t="s">
        <v>74</v>
      </c>
      <c r="F16" s="47" t="s">
        <v>85</v>
      </c>
      <c r="G16" s="48" t="s">
        <v>70</v>
      </c>
      <c r="H16" s="48" t="s">
        <v>71</v>
      </c>
      <c r="I16" s="49" t="s">
        <v>72</v>
      </c>
      <c r="J16" s="50">
        <v>664.58662857235208</v>
      </c>
      <c r="K16" s="51">
        <v>7.5</v>
      </c>
      <c r="L16" s="52">
        <v>86.931249390275852</v>
      </c>
      <c r="M16" s="52">
        <v>651.98437042706894</v>
      </c>
      <c r="N16" s="52">
        <v>1192.125</v>
      </c>
      <c r="O16" s="52">
        <v>2508.6959989994211</v>
      </c>
      <c r="P16" s="53">
        <v>2508.6959989994211</v>
      </c>
      <c r="Q16" s="54"/>
      <c r="R16" s="55"/>
      <c r="S16" s="55"/>
      <c r="T16" s="55"/>
      <c r="U16" s="55"/>
      <c r="V16" s="55"/>
      <c r="W16" s="55"/>
      <c r="X16" s="56"/>
    </row>
    <row r="17" spans="3:6" ht="13.5" thickBot="1" x14ac:dyDescent="0.25"/>
    <row r="18" spans="3:6" ht="13.5" thickBot="1" x14ac:dyDescent="0.25">
      <c r="C18" s="63" t="s">
        <v>74</v>
      </c>
      <c r="D18" s="64" t="s">
        <v>1</v>
      </c>
      <c r="E18" s="64" t="s">
        <v>2</v>
      </c>
      <c r="F18" s="64" t="s">
        <v>3</v>
      </c>
    </row>
    <row r="19" spans="3:6" x14ac:dyDescent="0.2">
      <c r="C19" s="60" t="s">
        <v>87</v>
      </c>
      <c r="D19" s="61">
        <v>695.44</v>
      </c>
      <c r="E19" s="61">
        <v>1239.9684523809524</v>
      </c>
      <c r="F19" s="61">
        <v>1935.4084523809524</v>
      </c>
    </row>
    <row r="20" spans="3:6" x14ac:dyDescent="0.2">
      <c r="C20" s="1" t="s">
        <v>115</v>
      </c>
      <c r="F20" s="91">
        <f>F19-P11</f>
        <v>-348.78150061346832</v>
      </c>
    </row>
    <row r="21" spans="3:6" x14ac:dyDescent="0.2">
      <c r="C21" s="4" t="s">
        <v>116</v>
      </c>
      <c r="F21" s="92">
        <f>F20/P11</f>
        <v>-0.15269373729458841</v>
      </c>
    </row>
  </sheetData>
  <mergeCells count="24">
    <mergeCell ref="U3:U4"/>
    <mergeCell ref="V3:V4"/>
    <mergeCell ref="W3:W4"/>
    <mergeCell ref="X3:X4"/>
    <mergeCell ref="C5:C16"/>
    <mergeCell ref="D5:D16"/>
    <mergeCell ref="O3:O4"/>
    <mergeCell ref="P3:P4"/>
    <mergeCell ref="Q3:Q4"/>
    <mergeCell ref="R3:R4"/>
    <mergeCell ref="S3:S4"/>
    <mergeCell ref="T3:T4"/>
    <mergeCell ref="I3:I4"/>
    <mergeCell ref="J3:J4"/>
    <mergeCell ref="K3:K4"/>
    <mergeCell ref="L3:L4"/>
    <mergeCell ref="M3:M4"/>
    <mergeCell ref="N3:N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cost calculation</vt:lpstr>
      <vt:lpstr>ADEC</vt:lpstr>
      <vt:lpstr>CO2 SENSOR</vt:lpstr>
      <vt:lpstr>DRAFT DEER Comparison</vt:lpstr>
    </vt:vector>
  </TitlesOfParts>
  <Company>PECI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Lipscomb</dc:creator>
  <cp:lastModifiedBy>Phil Jordan</cp:lastModifiedBy>
  <dcterms:created xsi:type="dcterms:W3CDTF">2013-02-04T17:34:44Z</dcterms:created>
  <dcterms:modified xsi:type="dcterms:W3CDTF">2018-07-30T20:55:18Z</dcterms:modified>
</cp:coreProperties>
</file>